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7100" windowWidth="10515" windowHeight="1185" tabRatio="945" firstSheet="1" activeTab="1"/>
  </bookViews>
  <sheets>
    <sheet name="Лист1" sheetId="15" state="hidden" r:id="rId1"/>
    <sheet name="для размещ на сайте" sheetId="51" r:id="rId2"/>
  </sheets>
  <externalReferences>
    <externalReference r:id="rId3"/>
    <externalReference r:id="rId4"/>
  </externalReferences>
  <definedNames>
    <definedName name="АБП">'[1]Служебный ФКРБ'!$A$2:$A$136</definedName>
    <definedName name="ВидПредмета">'[1]Вид предмета'!$A$1:$A$3</definedName>
    <definedName name="_xlnm.Print_Titles" localSheetId="1">'для размещ на сайте'!$6:$8</definedName>
    <definedName name="Источник">'[1]Источник финансирования'!$A$1:$A$6</definedName>
    <definedName name="КАТО">[1]КАТО!$A$2:$A$17162</definedName>
    <definedName name="Месяц">[1]Месяцы!$A$1:$A$13</definedName>
    <definedName name="Обоснование">OFFSET([1]ОПГЗ!$A$1,MATCH('[1]План ГЗ'!$P1,[1]ОПГЗ!$A:$A,0)-1,1,COUNTIF([1]ОПГЗ!$A:$A,'[1]План ГЗ'!$P1),1)</definedName>
    <definedName name="пкк">[2]Месяцы!$A$1:$A$13</definedName>
    <definedName name="Подпрограмма">'[1]Служебный ФКРБ'!$C$2:$C$31</definedName>
    <definedName name="Программа">'[1]Служебный ФКРБ'!$B$2:$B$145</definedName>
    <definedName name="Специфика">[1]ЭКРБ!$A$1:$A$87</definedName>
    <definedName name="Способ">'[1]Способ закупки'!$A$1:$A$14</definedName>
    <definedName name="Тип_пункта">'[1]Тип пункта плана'!$A$1:$A$3</definedName>
  </definedNames>
  <calcPr calcId="145621"/>
</workbook>
</file>

<file path=xl/calcChain.xml><?xml version="1.0" encoding="utf-8"?>
<calcChain xmlns="http://schemas.openxmlformats.org/spreadsheetml/2006/main">
  <c r="I133" i="51" l="1"/>
  <c r="J133" i="51" s="1"/>
  <c r="I132" i="51"/>
  <c r="J132" i="51" s="1"/>
  <c r="I131" i="51"/>
  <c r="J131" i="51" s="1"/>
  <c r="I130" i="51"/>
  <c r="J130" i="51" s="1"/>
  <c r="I129" i="51"/>
  <c r="J129" i="51" s="1"/>
  <c r="I128" i="51"/>
  <c r="J128" i="51" s="1"/>
  <c r="I127" i="51"/>
  <c r="J127" i="51" s="1"/>
  <c r="I126" i="51"/>
  <c r="J126" i="51" s="1"/>
  <c r="I125" i="51"/>
  <c r="J125" i="51" s="1"/>
  <c r="I124" i="51"/>
  <c r="J124" i="51" s="1"/>
  <c r="I123" i="51"/>
  <c r="J123" i="51" s="1"/>
  <c r="I122" i="51"/>
  <c r="J122" i="51" s="1"/>
  <c r="I121" i="51"/>
  <c r="J121" i="51" s="1"/>
  <c r="I120" i="51"/>
  <c r="J120" i="51" s="1"/>
  <c r="I119" i="51"/>
  <c r="J119" i="51" s="1"/>
  <c r="I118" i="51"/>
  <c r="J118" i="51" s="1"/>
  <c r="I117" i="51"/>
  <c r="J117" i="51" s="1"/>
  <c r="I116" i="51"/>
  <c r="J116" i="51" s="1"/>
  <c r="I115" i="51"/>
  <c r="J115" i="51" s="1"/>
  <c r="I114" i="51"/>
  <c r="J114" i="51" s="1"/>
  <c r="I109" i="51"/>
  <c r="J109" i="51" s="1"/>
  <c r="I108" i="51"/>
  <c r="J108" i="51" s="1"/>
  <c r="I113" i="51"/>
  <c r="J113" i="51" s="1"/>
  <c r="I107" i="51"/>
  <c r="J107" i="51" s="1"/>
  <c r="I112" i="51"/>
  <c r="J112" i="51" s="1"/>
  <c r="I111" i="51"/>
  <c r="J111" i="51" s="1"/>
  <c r="I110" i="51"/>
  <c r="J110" i="51" s="1"/>
  <c r="I106" i="51"/>
  <c r="J106" i="51" s="1"/>
  <c r="I105" i="51"/>
  <c r="J105" i="51" s="1"/>
  <c r="I104" i="51"/>
  <c r="J104" i="51" s="1"/>
  <c r="I103" i="51"/>
  <c r="J103" i="51" s="1"/>
  <c r="I102" i="51"/>
  <c r="J102" i="51" s="1"/>
  <c r="I101" i="51"/>
  <c r="J101" i="51" s="1"/>
  <c r="I100" i="51"/>
  <c r="J100" i="51" s="1"/>
  <c r="I99" i="51"/>
  <c r="J99" i="51" s="1"/>
  <c r="I98" i="51"/>
  <c r="J98" i="51" s="1"/>
  <c r="I97" i="51"/>
  <c r="J97" i="51" s="1"/>
  <c r="I96" i="51"/>
  <c r="J96" i="51" s="1"/>
  <c r="I95" i="51"/>
  <c r="J95" i="51" s="1"/>
  <c r="I94" i="51"/>
  <c r="J94" i="51" s="1"/>
  <c r="I93" i="51"/>
  <c r="J93" i="51" s="1"/>
  <c r="I92" i="51"/>
  <c r="J92" i="51" s="1"/>
  <c r="I91" i="51"/>
  <c r="J91" i="51" s="1"/>
  <c r="I90" i="51"/>
  <c r="J90" i="51" s="1"/>
  <c r="I89" i="51"/>
  <c r="J89" i="51" s="1"/>
  <c r="I88" i="51"/>
  <c r="J88" i="51" s="1"/>
  <c r="I87" i="51"/>
  <c r="J87" i="51" s="1"/>
  <c r="I86" i="51"/>
  <c r="J86" i="51" s="1"/>
  <c r="I85" i="51"/>
  <c r="J85" i="51" s="1"/>
  <c r="I84" i="51"/>
  <c r="J84" i="51" s="1"/>
  <c r="I83" i="51"/>
  <c r="J83" i="51" s="1"/>
  <c r="I82" i="51"/>
  <c r="J82" i="51" s="1"/>
  <c r="I81" i="51"/>
  <c r="J81" i="51" s="1"/>
  <c r="I80" i="51"/>
  <c r="J80" i="51" s="1"/>
  <c r="I79" i="51"/>
  <c r="J79" i="51" s="1"/>
  <c r="I78" i="51"/>
  <c r="J78" i="51" s="1"/>
  <c r="I77" i="51"/>
  <c r="J77" i="51" s="1"/>
  <c r="I76" i="51"/>
  <c r="J76" i="51" s="1"/>
  <c r="I75" i="51"/>
  <c r="J75" i="51" s="1"/>
  <c r="I74" i="51"/>
  <c r="J74" i="51" s="1"/>
  <c r="I73" i="51"/>
  <c r="J73" i="51" s="1"/>
  <c r="I72" i="51"/>
  <c r="J72" i="51" s="1"/>
  <c r="I71" i="51"/>
  <c r="J71" i="51" s="1"/>
  <c r="I70" i="51"/>
  <c r="J70" i="51" s="1"/>
  <c r="I69" i="51"/>
  <c r="J69" i="51" s="1"/>
  <c r="I68" i="51"/>
  <c r="J68" i="51" s="1"/>
  <c r="I67" i="51"/>
  <c r="J67" i="51" s="1"/>
  <c r="I66" i="51"/>
  <c r="J66" i="51" s="1"/>
  <c r="I65" i="51"/>
  <c r="J65" i="51" s="1"/>
  <c r="I64" i="51"/>
  <c r="J64" i="51" s="1"/>
  <c r="I63" i="51"/>
  <c r="J63" i="51" s="1"/>
  <c r="I62" i="51"/>
  <c r="J62" i="51" s="1"/>
  <c r="I61" i="51"/>
  <c r="J61" i="51" s="1"/>
  <c r="I60" i="51"/>
  <c r="J60" i="51" s="1"/>
  <c r="I59" i="51"/>
  <c r="J59" i="51" s="1"/>
  <c r="I58" i="51"/>
  <c r="J58" i="51" s="1"/>
  <c r="I57" i="51"/>
  <c r="J57" i="51" s="1"/>
  <c r="I56" i="51"/>
  <c r="J56" i="51" s="1"/>
  <c r="I55" i="51"/>
  <c r="J55" i="51" s="1"/>
  <c r="I54" i="51"/>
  <c r="J54" i="51" s="1"/>
  <c r="I53" i="51"/>
  <c r="J53" i="51" s="1"/>
  <c r="I52" i="51"/>
  <c r="J52" i="51" s="1"/>
  <c r="I51" i="51"/>
  <c r="J51" i="51" s="1"/>
  <c r="I50" i="51"/>
  <c r="J50" i="51" s="1"/>
  <c r="I49" i="51"/>
  <c r="J49" i="51" s="1"/>
  <c r="I48" i="51"/>
  <c r="J48" i="51" s="1"/>
  <c r="I47" i="51"/>
  <c r="J47" i="51" s="1"/>
  <c r="I46" i="51"/>
  <c r="J46" i="51" s="1"/>
  <c r="I45" i="51"/>
  <c r="J45" i="51" s="1"/>
  <c r="I44" i="51"/>
  <c r="J44" i="51" s="1"/>
  <c r="I43" i="51"/>
  <c r="J43" i="51" s="1"/>
  <c r="I42" i="51"/>
  <c r="J42" i="51" s="1"/>
  <c r="I41" i="51"/>
  <c r="J41" i="51" s="1"/>
  <c r="I40" i="51"/>
  <c r="J40" i="51" s="1"/>
  <c r="I39" i="51"/>
  <c r="J39" i="51" s="1"/>
  <c r="I38" i="51"/>
  <c r="J38" i="51" s="1"/>
  <c r="I37" i="51"/>
  <c r="J37" i="51" s="1"/>
  <c r="I36" i="51"/>
  <c r="J36" i="51" s="1"/>
  <c r="I35" i="51"/>
  <c r="J35" i="51" s="1"/>
  <c r="I34" i="51"/>
  <c r="J34" i="51" s="1"/>
  <c r="I33" i="51"/>
  <c r="J33" i="51" s="1"/>
  <c r="I32" i="51"/>
  <c r="J32" i="51" s="1"/>
  <c r="I31" i="51"/>
  <c r="J31" i="51" s="1"/>
  <c r="I30" i="51"/>
  <c r="J30" i="51" s="1"/>
  <c r="I29" i="51"/>
  <c r="J29" i="51" s="1"/>
  <c r="I28" i="51"/>
  <c r="J28" i="51" s="1"/>
  <c r="I27" i="51"/>
  <c r="J27" i="51" s="1"/>
  <c r="I26" i="51"/>
  <c r="J26" i="51" s="1"/>
  <c r="I25" i="51"/>
  <c r="J25" i="51" s="1"/>
  <c r="I24" i="51"/>
  <c r="J24" i="51" s="1"/>
  <c r="I23" i="51"/>
  <c r="J23" i="51" s="1"/>
  <c r="I22" i="51"/>
  <c r="J22" i="51" s="1"/>
  <c r="I21" i="51"/>
  <c r="J21" i="51" s="1"/>
  <c r="I20" i="51"/>
  <c r="J20" i="51" s="1"/>
  <c r="I19" i="51"/>
  <c r="J19" i="51" s="1"/>
  <c r="I18" i="51"/>
  <c r="J18" i="51" s="1"/>
  <c r="I17" i="51"/>
  <c r="J17" i="51" s="1"/>
  <c r="I16" i="51"/>
  <c r="J16" i="51" s="1"/>
  <c r="I15" i="51"/>
  <c r="J15" i="51" s="1"/>
  <c r="I14" i="51"/>
  <c r="J14" i="51" s="1"/>
  <c r="I13" i="51"/>
  <c r="J13" i="51" s="1"/>
  <c r="I12" i="51"/>
  <c r="J12" i="51" s="1"/>
  <c r="J11" i="51"/>
  <c r="I10" i="51"/>
  <c r="J10" i="51" s="1"/>
  <c r="I9" i="51"/>
  <c r="J9" i="51" s="1"/>
  <c r="K34" i="15" l="1"/>
  <c r="W34" i="15" s="1"/>
  <c r="X34" i="15" s="1"/>
  <c r="K33" i="15"/>
  <c r="W33" i="15" s="1"/>
  <c r="X33" i="15" s="1"/>
  <c r="K32" i="15"/>
  <c r="W32" i="15" s="1"/>
  <c r="X32" i="15" s="1"/>
  <c r="K31" i="15"/>
  <c r="W31" i="15" s="1"/>
  <c r="X31" i="15" s="1"/>
  <c r="W30" i="15"/>
  <c r="X30" i="15" s="1"/>
  <c r="W29" i="15"/>
  <c r="X29" i="15" s="1"/>
  <c r="X28" i="15"/>
  <c r="U27" i="15"/>
  <c r="X27" i="15" s="1"/>
  <c r="X26" i="15"/>
  <c r="X25" i="15"/>
  <c r="L24" i="15"/>
  <c r="K23" i="15"/>
  <c r="L23" i="15" s="1"/>
  <c r="X23" i="15" s="1"/>
  <c r="K22" i="15"/>
  <c r="L22" i="15" s="1"/>
  <c r="AA22" i="15" s="1"/>
  <c r="L21" i="15"/>
  <c r="X21" i="15" s="1"/>
  <c r="K20" i="15"/>
  <c r="L20" i="15" s="1"/>
  <c r="X20" i="15" s="1"/>
  <c r="K19" i="15"/>
  <c r="L19" i="15" s="1"/>
  <c r="X19" i="15" s="1"/>
  <c r="K18" i="15"/>
  <c r="L18" i="15" s="1"/>
  <c r="X18" i="15" s="1"/>
  <c r="Q17" i="15"/>
  <c r="K17" i="15"/>
  <c r="L17" i="15" s="1"/>
  <c r="K16" i="15"/>
  <c r="L16" i="15" s="1"/>
  <c r="X16" i="15" s="1"/>
  <c r="K15" i="15"/>
  <c r="L15" i="15" s="1"/>
  <c r="Q14" i="15"/>
  <c r="K14" i="15"/>
  <c r="L14" i="15" s="1"/>
  <c r="X22" i="15" l="1"/>
  <c r="X14" i="15"/>
  <c r="X17" i="15"/>
  <c r="Z21" i="15"/>
  <c r="AA21" i="15" s="1"/>
  <c r="X35" i="15" l="1"/>
</calcChain>
</file>

<file path=xl/sharedStrings.xml><?xml version="1.0" encoding="utf-8"?>
<sst xmlns="http://schemas.openxmlformats.org/spreadsheetml/2006/main" count="1434" uniqueCount="385">
  <si>
    <t>АО "Казахстанский фонд гарантирования депозитов"</t>
  </si>
  <si>
    <t>№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</si>
  <si>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</si>
  <si>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</si>
  <si>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</si>
  <si>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</si>
  <si>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</si>
  <si>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Утвержденная сумма на первый год трехлетнего периода</t>
  </si>
  <si>
    <t>Планируемый срок осуществления государственных закупок(месяц)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</si>
  <si>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</si>
  <si>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</si>
  <si>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Услуга</t>
  </si>
  <si>
    <t xml:space="preserve">Жазатайым жағдайдан жұмысшыны міндетті сақтандыру </t>
  </si>
  <si>
    <t>Обязательное страхование работника от несчастных случаев</t>
  </si>
  <si>
    <t>Одна услуга</t>
  </si>
  <si>
    <t>751410000</t>
  </si>
  <si>
    <t>Жұмысшыларды ерікті медициналық сақтандыру</t>
  </si>
  <si>
    <t>Добровольное медицинское страхование работников</t>
  </si>
  <si>
    <t>Ремонт компьютеров, принтеров, сканеров, факсимильного и копировального аппарата</t>
  </si>
  <si>
    <t>Размещение рекламных объявлений в журналах и изданиях периодических, печатных</t>
  </si>
  <si>
    <t>Ресмилық республикалық және региондық мерзімдік баспасөзде басылымдарыда мақалаларды және ақпараттық хабарламаларды дайындау және жайғау</t>
  </si>
  <si>
    <t>Подготовка и размещение статей и информационных сообщений в официальных республиканских и региональных периодических печатных изданиях</t>
  </si>
  <si>
    <t>Товар</t>
  </si>
  <si>
    <t>Штука</t>
  </si>
  <si>
    <t>Материалы  печатные, не включенные в другие группировки</t>
  </si>
  <si>
    <t>"Құттықтау ашық хат және конверт" жинағын жасау</t>
  </si>
  <si>
    <t>Изготовление комплектов "Поздравительная открытка и конверт"</t>
  </si>
  <si>
    <t xml:space="preserve">Жылдық есеп кітапшасы </t>
  </si>
  <si>
    <t>Брошюра "Годовой отчет"</t>
  </si>
  <si>
    <t>Услуги по разработке интернет-сайта</t>
  </si>
  <si>
    <t>www.kdif.kz интернет сайтты дамыту бойынша қызымет көрсету</t>
  </si>
  <si>
    <t>04 Апрель</t>
  </si>
  <si>
    <t>06 Июнь</t>
  </si>
  <si>
    <t>Услуги и работы различные прочие, не включенные в другие группировки</t>
  </si>
  <si>
    <t>Аренда легкового автомобиля (для руководителя) с водителем</t>
  </si>
  <si>
    <t>Мобильді байланыс операторның  қызметі</t>
  </si>
  <si>
    <t>Услуги оператора мобильной связи</t>
  </si>
  <si>
    <t>Общедоступные услуги почтовой связи</t>
  </si>
  <si>
    <t>Почтовые курьерские услуги</t>
  </si>
  <si>
    <t>ФАСТИ қызметі</t>
  </si>
  <si>
    <t>Услуги ФАСТИ</t>
  </si>
  <si>
    <t>Жалғас қызметпен тұруға болмайтын бөлмелерді шаруашылық жалдау</t>
  </si>
  <si>
    <t>Хозяйственная аренда нежилых помещений с сопутствующими услугами</t>
  </si>
  <si>
    <t xml:space="preserve">(Сыртқы аудит) аудиторлық қызмет көрсетуі </t>
  </si>
  <si>
    <t>Аудиторские услуги (внешний аудит)</t>
  </si>
  <si>
    <t>05 Май</t>
  </si>
  <si>
    <t xml:space="preserve">Екі жақты визиткалар </t>
  </si>
  <si>
    <t>Визитки двусторонние</t>
  </si>
  <si>
    <t>10 Октябрь</t>
  </si>
  <si>
    <t>Қаржылық және басқадай құжаттарды орыс тілінен қазақ тіліне жазбаша аудару</t>
  </si>
  <si>
    <t>Письменный перевод финансовых и иных  документов с русского на казахский язык</t>
  </si>
  <si>
    <t xml:space="preserve">Мерзімді басылымдарға жазылу  </t>
  </si>
  <si>
    <t>Подписка на периодические издания</t>
  </si>
  <si>
    <t>03 Март</t>
  </si>
  <si>
    <t>Көлемі 19  литр  ішетін су</t>
  </si>
  <si>
    <t xml:space="preserve">Желiм - қарындаш </t>
  </si>
  <si>
    <t xml:space="preserve">Председатель </t>
  </si>
  <si>
    <t xml:space="preserve">Заместитель Председателя  </t>
  </si>
  <si>
    <t xml:space="preserve">                                                                                                                       </t>
  </si>
  <si>
    <t>Директор юридического департамента</t>
  </si>
  <si>
    <t>Начальник   АХО</t>
  </si>
  <si>
    <t xml:space="preserve">                                                                                 </t>
  </si>
  <si>
    <t xml:space="preserve">                                                                               </t>
  </si>
  <si>
    <t>991240000414</t>
  </si>
  <si>
    <t>Тындыбаев М.</t>
  </si>
  <si>
    <t xml:space="preserve">Наименование закупаемых товаров, работ, услуг на государственном языке 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</si>
  <si>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</si>
  <si>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</si>
  <si>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>Характеристика (описание) товаров, работ и услуг на русском языке</t>
  </si>
  <si>
    <t xml:space="preserve">Единица измерения </t>
  </si>
  <si>
    <t>Прогнозная сумма на второй год трехлетнего периода *, тенге</t>
  </si>
  <si>
    <t>Прогнозная сумма на третий год трехлетнего периода *, тенге</t>
  </si>
  <si>
    <t>Конкурс</t>
  </si>
  <si>
    <t>"Қазақстанның депозиттерге кепілдік беру қоры" АҚ</t>
  </si>
  <si>
    <t>Когулов Б.Б.</t>
  </si>
  <si>
    <t>Абжанов К.К.</t>
  </si>
  <si>
    <t xml:space="preserve">Заместитель Председателя </t>
  </si>
  <si>
    <t>Даулетбердиев О.А.</t>
  </si>
  <si>
    <t>Сахариев А.Б.</t>
  </si>
  <si>
    <t>Доненбаева Э.А.</t>
  </si>
  <si>
    <t>Досумов Б.</t>
  </si>
  <si>
    <t>Абдраманова М.</t>
  </si>
  <si>
    <t>Утверждено приказом</t>
  </si>
  <si>
    <t>Согласовано:</t>
  </si>
  <si>
    <t>Зажим 25 мм (12 шт.)</t>
  </si>
  <si>
    <t>Зажим 32 мм (12 шт.)</t>
  </si>
  <si>
    <t>Зажим 51 мм (12 шт.)</t>
  </si>
  <si>
    <t xml:space="preserve">Штука </t>
  </si>
  <si>
    <t xml:space="preserve">Услуги на проведение исследования по изучению уровня осведомленности населения о системе гарантирования депозитов  </t>
  </si>
  <si>
    <t>Амирбекова Э.М.</t>
  </si>
  <si>
    <t>План закупок товаров, работ и услуг на 2016 год</t>
  </si>
  <si>
    <t xml:space="preserve">2016 г.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</si>
  <si>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Услуги по разработке интернет-сайта www.kdif.kz
</t>
  </si>
  <si>
    <t>Стойки для рекламных материалов</t>
  </si>
  <si>
    <t>Флаг настольный</t>
  </si>
  <si>
    <t>Үстелге қоятын жалау</t>
  </si>
  <si>
    <t>Жарнамалық материалдар үшін тіреулер</t>
  </si>
  <si>
    <t>Баспасөз қабырғасы</t>
  </si>
  <si>
    <t>Пресс-стена</t>
  </si>
  <si>
    <t>Организация мероприятий для СМИ (по итогам работы за год)</t>
  </si>
  <si>
    <t>Мониторинг СМИ и соц.сетей</t>
  </si>
  <si>
    <t>Разработка портала депозитной базы</t>
  </si>
  <si>
    <t>Депозиттерге кепілдік беру жүйесі туралы халықтық хабардарлығын зерттеу туралы қызметі</t>
  </si>
  <si>
    <t>БАҚ үшін іс-шаралар ұйымдастыру</t>
  </si>
  <si>
    <t>БАҚ және әлеуметтік желілер мониторингі</t>
  </si>
  <si>
    <t>Депозиттік базаның порталын әзірлеу</t>
  </si>
  <si>
    <t>Антистеплер</t>
  </si>
  <si>
    <t>Қысқыш 25 мм (12 дана)</t>
  </si>
  <si>
    <t>Қысқыш 32 мм (12 дана)</t>
  </si>
  <si>
    <t>Қысқыш 51 мм (12 дана)</t>
  </si>
  <si>
    <t>Небольшая книга, без твердого переплёта</t>
  </si>
  <si>
    <t>Доступ к сети интернет (по выделенному  волоконно-оптическому каналу, без учета трафика, безлимитный пропускной способностью порта не менее 16 Мбит/с)</t>
  </si>
  <si>
    <t xml:space="preserve">Интернет торына кіруге мүмкіндік  (бөлінген оптика талшықты канал, трафикті есептеусіз, лимитcіз  порттың өткізу мүмкіндігі  16 Мбит/с кем емес) </t>
  </si>
  <si>
    <t xml:space="preserve">И.о.Главного бухгалтера  </t>
  </si>
  <si>
    <t>Загорский И.С.</t>
  </si>
  <si>
    <t>Сумма с учетом корректировок</t>
  </si>
  <si>
    <t>Запрос ценовых предложений без размещения объявления</t>
  </si>
  <si>
    <t>№___ от __ ___________ 2016 года</t>
  </si>
  <si>
    <t>Наименование заказчика (организатора закупок)</t>
  </si>
  <si>
    <t>17</t>
  </si>
  <si>
    <t>АО "КФГД"</t>
  </si>
  <si>
    <t>Организация мероприятий для СМИ (по итогам работы за год) 3 пресс-конф.</t>
  </si>
  <si>
    <t>Ақпараттық промо-өнім- триплет</t>
  </si>
  <si>
    <t>Информационная промо-продукция - триплет</t>
  </si>
  <si>
    <t>Создание субтитров к информационному видеоролику Фонда</t>
  </si>
  <si>
    <t>Из одного источника путем заключения договора</t>
  </si>
  <si>
    <t>Сумма заключенного договора</t>
  </si>
  <si>
    <t>Экономия (+), перерасход (-)</t>
  </si>
  <si>
    <t>приказ №34 от 19.04.16</t>
  </si>
  <si>
    <t>приказ №28 от 31.03.16</t>
  </si>
  <si>
    <t>приказ №22 от 14.03.16</t>
  </si>
  <si>
    <t>приказ №36 от 27.04.16</t>
  </si>
  <si>
    <t>приказ №37 от 28.04.16</t>
  </si>
  <si>
    <t>751410002</t>
  </si>
  <si>
    <t>751410003</t>
  </si>
  <si>
    <t xml:space="preserve">Жылдық есеп кітапшасының дизайнын  жасау </t>
  </si>
  <si>
    <t>Разработка дизайна  годового отчета</t>
  </si>
  <si>
    <t>Жылдық есеп кітапшасының тиражын  жасап шығару</t>
  </si>
  <si>
    <t>Производство тиража годового отчета</t>
  </si>
  <si>
    <t>751410004</t>
  </si>
  <si>
    <t>Услуги, связанные с производством кинофильмов, видеофильмов и фильмов вспомогательные прочие, не включенные в другие гр.</t>
  </si>
  <si>
    <t>Создание аудио и видео-брендблока АО "КФГД"</t>
  </si>
  <si>
    <t>"ҚДКҚ" АҚ аудио және видео-брендблогын жасау</t>
  </si>
  <si>
    <t>Ручка с логотипом Фонда</t>
  </si>
  <si>
    <t>Қордың логотипімен қалам</t>
  </si>
  <si>
    <t>Блокнот с логотипом Фонда</t>
  </si>
  <si>
    <t>Қордың логотипімен қойын дәптер</t>
  </si>
  <si>
    <t>Вывеска с логотипом Фонда</t>
  </si>
  <si>
    <t>Қордың логотипімен маңдайша</t>
  </si>
  <si>
    <t>«Папка для документов с логотипом Фонда»</t>
  </si>
  <si>
    <t>Қордың логотипімен құжаттарға арналған қалта</t>
  </si>
  <si>
    <t>Папка для документов с логотипом Фонда</t>
  </si>
  <si>
    <t>«Флаг с логотипом Фонда»</t>
  </si>
  <si>
    <t>Қордың логотипімен жалау</t>
  </si>
  <si>
    <t>Флаг с логотипом Фонда</t>
  </si>
  <si>
    <t>«Рекламные конструкции с логотипом Фонда»</t>
  </si>
  <si>
    <t>Қордың логотипімен жарнама құрылыстары</t>
  </si>
  <si>
    <t>Рекламные конструкции с логотипом Фонда</t>
  </si>
  <si>
    <t>07 июль</t>
  </si>
  <si>
    <t>Запрос ценовых предложений с размещениям объявления</t>
  </si>
  <si>
    <t>Аренда легкового автомобиля с водителем (для хозяйственных нужд)</t>
  </si>
  <si>
    <t xml:space="preserve">бумага для заметок 76*127 (100л.) </t>
  </si>
  <si>
    <t>Ежедневник А5 датированный</t>
  </si>
  <si>
    <t>Книга учета</t>
  </si>
  <si>
    <t>Один источник путем заключения договора</t>
  </si>
  <si>
    <t>Страхование жизни</t>
  </si>
  <si>
    <t>Өмірді сақтандыру</t>
  </si>
  <si>
    <t>Ксерокстер, принтерлер, компютерлер, сканерлер, факсимильді және көшірмелерді жөндеу</t>
  </si>
  <si>
    <t>Телеарнаға орналастыру</t>
  </si>
  <si>
    <t>Размещение на телевидении</t>
  </si>
  <si>
    <t>Техническое сопровождение и совершенствование ИС "БАТА"</t>
  </si>
  <si>
    <t>Сопровождение ПО 1С: Бухгалтерия 8.2</t>
  </si>
  <si>
    <t>Техническое обслуживание персонального компьютера</t>
  </si>
  <si>
    <t>Техническая поддержка Basic Support/Subscription Vmware vSphere 6 Standard for 1 processor for 1 year (VS6-STD-G-SSS-C)</t>
  </si>
  <si>
    <t>Техническая поддержка Basic Support/Subscription Vmware vCenter Server 6 Standard for vSphere for 1 year (VСS6-STD-G-SSS-C)</t>
  </si>
  <si>
    <t xml:space="preserve"> Basic Support/Subscription Vmware vSphere 6 Standard for 1 processor for 1 year (VS6-STD-G-SSS-C) техникалық қолдау</t>
  </si>
  <si>
    <t xml:space="preserve"> Basic Support/Subscription Vmware vCenter Server 6 Standard for vSphere for 1 year (VСS6-STD-G-SSS-C) техникалық қолдау</t>
  </si>
  <si>
    <t>Бухгалтерский учет в соответствии  с МСФО</t>
  </si>
  <si>
    <t>ХҚЕС-на сәйкес бухгалтерлік есеп</t>
  </si>
  <si>
    <t>Семинар по налогам (изменения в НК)</t>
  </si>
  <si>
    <t>Салық бойынша семинар (СҚ өзгеруі)</t>
  </si>
  <si>
    <t>Управление ATC до 100 абонентов</t>
  </si>
  <si>
    <t>Настройка и конфигурирование телефонных аппаратов</t>
  </si>
  <si>
    <t>ВОЛС (волоконно-оптическая линия связи), система передачи данных</t>
  </si>
  <si>
    <t xml:space="preserve">Доменное имя и хостинг </t>
  </si>
  <si>
    <t xml:space="preserve">Домендік атау және хостинг </t>
  </si>
  <si>
    <t>Корпоративные IP</t>
  </si>
  <si>
    <t xml:space="preserve">Сувенир на национальную тематику </t>
  </si>
  <si>
    <t>Ұлттық тақырыптар бойынша базарлық</t>
  </si>
  <si>
    <t xml:space="preserve">Скрепки мет.25мм/100шт </t>
  </si>
  <si>
    <t>один источник путем заключения договора</t>
  </si>
  <si>
    <t>Запрос ценовых предложений без размещения объявления (п.п.12, п.251 Правил приобретения товаров, работ и услуг НБРК)</t>
  </si>
  <si>
    <t>Жеңіл автокөлікті жүргізушімен жалға алу (шаруашылық қажеттіліктерге арналған)</t>
  </si>
  <si>
    <t>Жеңіл автокөлікті жалға алу (басшы үшін) жүргізушісімен</t>
  </si>
  <si>
    <t>Орнату және конфигурациялау телефон аппараттарының</t>
  </si>
  <si>
    <t>ТОБЖ (талшықты-оптикалық байланыс желісі), деректерді беру жүйесі</t>
  </si>
  <si>
    <t>Корпоративтік IP</t>
  </si>
  <si>
    <t>Пайдалануға Business Trunk</t>
  </si>
  <si>
    <t>Пошталық курьерлік қызметтер</t>
  </si>
  <si>
    <t>№___ от __ ________________ года</t>
  </si>
  <si>
    <t>Сроки поставки товаров, выполнения работ и оказания услуг</t>
  </si>
  <si>
    <t>I-IV кварталы</t>
  </si>
  <si>
    <t>III-IV кварталы</t>
  </si>
  <si>
    <t>II-IV кварталы</t>
  </si>
  <si>
    <t>II-III кварталы</t>
  </si>
  <si>
    <t>IV квартал</t>
  </si>
  <si>
    <t>I квартал</t>
  </si>
  <si>
    <t>III квартал</t>
  </si>
  <si>
    <t>II квартал</t>
  </si>
  <si>
    <t>Тастенова Ш.</t>
  </si>
  <si>
    <t xml:space="preserve">"Жылдық есеп" кітапшасы </t>
  </si>
  <si>
    <t>"БАТА" АЖ техникалық сүйемелдеу және жетілдіру</t>
  </si>
  <si>
    <t>1 С:-Бухгалтерия 8.2 БЖ сүйемелдеу</t>
  </si>
  <si>
    <t xml:space="preserve">100-ге дейін абоненттердің  ATC басқармасы </t>
  </si>
  <si>
    <t>Жалпыға қол жетімді почта байланысының қызметті</t>
  </si>
  <si>
    <t>Пользование Business Trunk и номеров Business Trunk</t>
  </si>
  <si>
    <t>Айна</t>
  </si>
  <si>
    <t>Зеркало</t>
  </si>
  <si>
    <t>План закупок товаров, работ и услуг на 2018 год</t>
  </si>
  <si>
    <t>Календари настольные</t>
  </si>
  <si>
    <t xml:space="preserve">Онлайн мониторинг СМИ </t>
  </si>
  <si>
    <t xml:space="preserve">БАҚ онлайн талдамалы шолу </t>
  </si>
  <si>
    <t>Размещение на радио</t>
  </si>
  <si>
    <t xml:space="preserve"> "SalT Payout" техникалық қызмет көрсетілуі </t>
  </si>
  <si>
    <t>Visual Studio Enterprise Subscription (MSDN) SA (MS VSEntSubMSDN ALNG SA OLP NL</t>
  </si>
  <si>
    <t>Windows Server - User CAL SA (MS WinSvrCAL SNGL SA OLP NL UsrCAL)</t>
  </si>
  <si>
    <t>MS ExchgStdCAL 2016 SNGL OLP NL</t>
  </si>
  <si>
    <t>Трудочасы инженера по обслуживанию ИТ-инфраструктуры</t>
  </si>
  <si>
    <t xml:space="preserve">бумага для заметок 12*45 (125л.) </t>
  </si>
  <si>
    <t xml:space="preserve">бумага для заметок 76*76 (50л.) </t>
  </si>
  <si>
    <t xml:space="preserve">Бумага с клеевым краем 3*38*51 </t>
  </si>
  <si>
    <t>Дыракол металлический</t>
  </si>
  <si>
    <t>Зажим 19 мм (12 шт.)</t>
  </si>
  <si>
    <t>Карандаш простой с рез.</t>
  </si>
  <si>
    <t xml:space="preserve">Клей - карандаш  </t>
  </si>
  <si>
    <t>Книга входящей корреспонденции</t>
  </si>
  <si>
    <t xml:space="preserve">Конверт 160*230 бел.  </t>
  </si>
  <si>
    <t>Корректор (замазка)</t>
  </si>
  <si>
    <t>Лента клейкая 12*33 м</t>
  </si>
  <si>
    <t>Лоток вертикальный</t>
  </si>
  <si>
    <t>Маркеры текстовые (разноцветные)</t>
  </si>
  <si>
    <t>Нож канцелярский</t>
  </si>
  <si>
    <t xml:space="preserve">Ножницы </t>
  </si>
  <si>
    <t>Регистр 5 см</t>
  </si>
  <si>
    <t>Регистр 7 см</t>
  </si>
  <si>
    <t xml:space="preserve">Ручка гелевая  </t>
  </si>
  <si>
    <t xml:space="preserve">Скобы №24/6, 26/6  </t>
  </si>
  <si>
    <t>Скобы для степлера №23/13</t>
  </si>
  <si>
    <t xml:space="preserve">Точилка </t>
  </si>
  <si>
    <t xml:space="preserve">Жазуға арналған қағаз 76*127 (100 б.) </t>
  </si>
  <si>
    <t xml:space="preserve">Жазуға арналған қағаз 12*45 (125 б.) </t>
  </si>
  <si>
    <t xml:space="preserve">Жазуға арналған қағаз 76*76 (50 б.) </t>
  </si>
  <si>
    <t xml:space="preserve">Қағаз желімді шетімен 3*38*51 </t>
  </si>
  <si>
    <t>Тескіш металлдан</t>
  </si>
  <si>
    <t>А5 күнделік</t>
  </si>
  <si>
    <t>Қысқыш 19 мм (12 дана)</t>
  </si>
  <si>
    <t>Қарындаш қарапайым рез.</t>
  </si>
  <si>
    <t>Есеп кітабы</t>
  </si>
  <si>
    <t>Кіріс хат-хабарлар кітабы</t>
  </si>
  <si>
    <t>Хат қалта 160*230 ақ.</t>
  </si>
  <si>
    <t>Корректор (сылақтау)</t>
  </si>
  <si>
    <t>Жабысқақ лентасы 12*33 м</t>
  </si>
  <si>
    <t>Тік лоток</t>
  </si>
  <si>
    <t>Мәтіндік маркерлер (әз түрлі)</t>
  </si>
  <si>
    <t>Кеңселік  пышақ</t>
  </si>
  <si>
    <t>Қайшы</t>
  </si>
  <si>
    <t>Гельді қалам</t>
  </si>
  <si>
    <t xml:space="preserve">Қапсырма шегелер №24/6, 26/6  </t>
  </si>
  <si>
    <t>Қапсырма шегелер степлерге арналған №23/13</t>
  </si>
  <si>
    <t>Қыстырғыш мет. 25мм/100 дана</t>
  </si>
  <si>
    <t>Степлер металлический №24/6</t>
  </si>
  <si>
    <t>Степлер металдан №24/6</t>
  </si>
  <si>
    <t>Ұштағыш</t>
  </si>
  <si>
    <t>Cartridge HP/CE505/Laser/black</t>
  </si>
  <si>
    <t>CF214F 14F Standard black Print Laser jet cartridge for laser Jet 700M712</t>
  </si>
  <si>
    <t>Print cartridge Xerox/Ph5335/Laser/black</t>
  </si>
  <si>
    <t>Картридж KyoceraTK170 оригинал</t>
  </si>
  <si>
    <t>Картридж KyoceraTK170  түпнұсқасы</t>
  </si>
  <si>
    <t>Бумага офисная А3</t>
  </si>
  <si>
    <t xml:space="preserve">Фирменные бланки </t>
  </si>
  <si>
    <t>Офис қағазы А3</t>
  </si>
  <si>
    <t>Фирмалық бланкілер</t>
  </si>
  <si>
    <t xml:space="preserve">Земля для цветов </t>
  </si>
  <si>
    <t xml:space="preserve">Чайник </t>
  </si>
  <si>
    <t xml:space="preserve">Диспенсер </t>
  </si>
  <si>
    <t>Стаканы одноразовые</t>
  </si>
  <si>
    <t>Батарейка ААА</t>
  </si>
  <si>
    <t>Батарейка АА</t>
  </si>
  <si>
    <t>Шәйнек</t>
  </si>
  <si>
    <t>Бір рет қолданылатын стақандар</t>
  </si>
  <si>
    <t xml:space="preserve">Картридж HP CF283-Black, 1500pages, HP
LaserjatPro MFP M125,MFP M127, M201, MFP M225
</t>
  </si>
  <si>
    <t>HP CF214X Black Print LaserJet Cartridge for LaserJet 700 M712/MFP M725, up to 17500 pages</t>
  </si>
  <si>
    <t>HP LaserJet 656X, оригинальный лазерный картридж увеличенной емкости, черный (CF460X)</t>
  </si>
  <si>
    <t>HP LaserJet 656X, оригинальный лазерный картридж увеличенной емкости, голубой (CF461X)</t>
  </si>
  <si>
    <t>HP LaserJet 656X, оригинальный лазерный картридж увеличенной емкости, желтый (CF462X)</t>
  </si>
  <si>
    <t>HP LaserJet 656X, оригинальный лазерный картридж увеличенной емкости, пурпурный (CF463X)</t>
  </si>
  <si>
    <t>HP LaserJet 37X, Оригинальный лазерный картридж HP увеличенной емкости, Черный(CF237X)</t>
  </si>
  <si>
    <t>Пломбы наклейки ТИП-П для пломбирования компьютерного оборудования</t>
  </si>
  <si>
    <t>Бумага офисная А4</t>
  </si>
  <si>
    <t>Офис қағазы А4</t>
  </si>
  <si>
    <t>Бланки «Свидетельства банков-участников»</t>
  </si>
  <si>
    <t>Производство аудиороликов</t>
  </si>
  <si>
    <t>Аудиороликтер өндірісі</t>
  </si>
  <si>
    <t>Обслуживание юридической базы  "ИС Параграф" на 10 пользователей</t>
  </si>
  <si>
    <t>Техническое  сопровождение  "SalT Payout"</t>
  </si>
  <si>
    <t>Повышение квалификации профессионального бухгалтера</t>
  </si>
  <si>
    <t>Операционные риски компании</t>
  </si>
  <si>
    <t>Обучение  по 1С Склад "Учет ТМЗ на складе"</t>
  </si>
  <si>
    <t>HF422S Основы ITIL V3 для управления IT-услугами</t>
  </si>
  <si>
    <t>Обслуживание абонентского оборудования ВКС</t>
  </si>
  <si>
    <t>Годовое обслуживание серверного приложения ВКС</t>
  </si>
  <si>
    <t>Установка и администрирование автоответчика</t>
  </si>
  <si>
    <t>Услуги оценки</t>
  </si>
  <si>
    <t>Электронный документооборот</t>
  </si>
  <si>
    <t>"SQL Server 2016 EE" лицензия</t>
  </si>
  <si>
    <t>"SharePoint Server 2016" лицензия</t>
  </si>
  <si>
    <t>"Microsoft Server 2016" лицензия</t>
  </si>
  <si>
    <t>Акбаева Б.М.</t>
  </si>
  <si>
    <t xml:space="preserve">Главный бухгалтер </t>
  </si>
  <si>
    <t>Пичитаева А.А.</t>
  </si>
  <si>
    <t>Нурханов А.Т.</t>
  </si>
  <si>
    <t>Стол үстілік  күнтізбелері</t>
  </si>
  <si>
    <t xml:space="preserve">Радиоға орналастыру </t>
  </si>
  <si>
    <t>Ресмилік республикалық және аймақтық мерзімдік баспасөз басылымдарында мақалаларды және ақпараттық хабарламаларды дайындау және орналастыру</t>
  </si>
  <si>
    <t>10 қолданушыға арналған «Параграф АЖ»  қамтамасыз ету қызметі</t>
  </si>
  <si>
    <t>Дербес компьютерлерге техникалық қызмет көрсету</t>
  </si>
  <si>
    <t>Cartridge HP/CE505/Laser/black картриджы</t>
  </si>
  <si>
    <t>CF214F 14F Standard black Print Laser jet cartridge for laser Jet 700M711 картриджы</t>
  </si>
  <si>
    <t>Гүлдерге арналған  жер</t>
  </si>
  <si>
    <t>Вода питьевая объем 19 л.</t>
  </si>
  <si>
    <t xml:space="preserve">Электронды құжатайналымы </t>
  </si>
  <si>
    <t>Бағалау қызметі</t>
  </si>
  <si>
    <t>«Қатсыушы банк куәлігі»  Бланктері</t>
  </si>
  <si>
    <t xml:space="preserve">Кәсіби бухгалтердің кәсіби дамуы көтеру </t>
  </si>
  <si>
    <t>Компанияның операциялық тәуекелдері</t>
  </si>
  <si>
    <t xml:space="preserve">1С Қоймасы «қоймада ТМЗ есепке алу» оқыту </t>
  </si>
  <si>
    <t>Автожауап беру құрылғысын орнату және басқару</t>
  </si>
  <si>
    <t>"SQL Server 2016 EE" лицензиясы</t>
  </si>
  <si>
    <t>"SharePoint Server 2016" лицензиясы</t>
  </si>
  <si>
    <t>"Microsoft Server 2016" лицензиясы</t>
  </si>
  <si>
    <t>Абоненттік жабдықтың ВКС қызмет көрсету</t>
  </si>
  <si>
    <t>Cерверлік қосымшалар ВКС ;ылдық қызмет көрсету</t>
  </si>
  <si>
    <t xml:space="preserve"> ITIL V3 басқару үшін IT-қызметтерін негіздері</t>
  </si>
  <si>
    <t>Сыйымдылығы ұлғайтылған бірегей лазерлік картридж  HP LaserJet 656X,  қара  (CF460X)</t>
  </si>
  <si>
    <t>Сыйымдылығы ұлғайтылған бірегей лазерлік картридж  HP LaserJet 656X,  көгілдір  (CF461X)</t>
  </si>
  <si>
    <t>Сыйымдылығы ұлғайтылған бірегей лазерлік картридж  HP LaserJet 656X,  сары  (CF462X)</t>
  </si>
  <si>
    <t>Сыйымдылығы ұлғайтылған бірегей лазерлік картридж  HP LaserJet 656X,  күлгін  (CF463X)</t>
  </si>
  <si>
    <t>Сыйымдылығы ұлғайтылған бірегей лазерлік картридж HP LaserJet 37X,  қара (CF237X)</t>
  </si>
  <si>
    <t>I-II кварталы</t>
  </si>
  <si>
    <t>АТ-инфрақұрылымын  қызмет көрсету инженердің еңбек сағаты</t>
  </si>
  <si>
    <t>Жапсырма пломбалар  ТҮРІ-П пломбалауға арналған компьютерлік жабдықтарды</t>
  </si>
  <si>
    <t>Размещение рекламы в социальных сетях и в интернете</t>
  </si>
  <si>
    <t>Поисковая оптимизация в системах Google, Яндекс</t>
  </si>
  <si>
    <t>Размещение информационных материалов в онлайн-изданиях</t>
  </si>
  <si>
    <t>Әлеуметтік желілерде және Интернеттегі жарнамаларды  орналастыру</t>
  </si>
  <si>
    <t>Google, Yandex-да іздеу жүйесін оңтайландыру</t>
  </si>
  <si>
    <t>Интернет-басылымдарда ақпараттық материалдарды орналастыру</t>
  </si>
  <si>
    <t>Семинар "Внутренний аудит"</t>
  </si>
  <si>
    <t>"Ішкі аудит" семинары</t>
  </si>
  <si>
    <t xml:space="preserve">Запрос ценовых предложений без размещения объявления </t>
  </si>
  <si>
    <t xml:space="preserve">Налоговый кодекс РК </t>
  </si>
  <si>
    <t xml:space="preserve">ҚР  салық кодексі </t>
  </si>
  <si>
    <t>Сарсенбекұлы Е.</t>
  </si>
  <si>
    <t>Антивирустық бағдарламаны жаңарту (Kaspersky Endpoint Security for Business Select STAN and Caucasus. 50-99 Node 1 year Renewal License)</t>
  </si>
  <si>
    <t>Обновление Антивирусной программы (Kaspersky Endpoint Security for Business Select STAN and Caucasus. 50-99 Node 1 year Renewal License)</t>
  </si>
  <si>
    <t>IBM SPSS Statistics Version 23 – статистикалық мәліметті өңдеу  бағдарламасы, қолданбалы зерттеулер жүргізуге  арналған</t>
  </si>
  <si>
    <t>IBM SPSS Statistics Version 23 – программа для статистической обработки данных, предназначенная для проведения прикладных исследований.</t>
  </si>
  <si>
    <t>Коммутатор Cisco Catalyst 2960S. Cat 2960S Stk48 GigE,4xSFP LAN Base техникалық қолдау</t>
  </si>
  <si>
    <t>Техподдержка на коммутатор Cisco Catalyst 2960S. Cat 2960S Stk48 GigE,4xSFP LAN Base</t>
  </si>
  <si>
    <t>Цена за единицу, тенге  без НДС</t>
  </si>
  <si>
    <t>Общая сумма, утвержденная  для закупки, тенге без НДС</t>
  </si>
  <si>
    <t>Планируемый срок осуществления закупок (квартал)</t>
  </si>
  <si>
    <t>2018 год</t>
  </si>
  <si>
    <t>13</t>
  </si>
  <si>
    <t>9</t>
  </si>
  <si>
    <t xml:space="preserve">Системный блок </t>
  </si>
  <si>
    <t xml:space="preserve">Монитор  24" </t>
  </si>
  <si>
    <t>МФУ А3</t>
  </si>
  <si>
    <t>Принтер цветной А4</t>
  </si>
  <si>
    <t xml:space="preserve">МФУ А4 </t>
  </si>
  <si>
    <t xml:space="preserve">КФҚ А4 </t>
  </si>
  <si>
    <t>КФҚ А3</t>
  </si>
  <si>
    <t xml:space="preserve">Монитор 24" </t>
  </si>
  <si>
    <t xml:space="preserve">Жүйелік блок </t>
  </si>
  <si>
    <t>Түрлі-түсті принтер А4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</si>
</sst>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"/>
    <numFmt numFmtId="167" formatCode="0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2" fillId="0" borderId="0"/>
    <xf numFmtId="0" fontId="3" fillId="0" borderId="0"/>
    <xf numFmtId="165" fontId="3" fillId="0" borderId="0" applyFont="0" applyFill="0" applyBorder="0" applyAlignment="0" applyProtection="0"/>
    <xf numFmtId="167" fontId="7" fillId="0" borderId="15">
      <alignment horizontal="center" vertical="top" wrapText="1"/>
    </xf>
    <xf numFmtId="1" fontId="7" fillId="0" borderId="0">
      <alignment horizontal="center" vertical="top" wrapText="1"/>
    </xf>
    <xf numFmtId="166" fontId="7" fillId="0" borderId="15">
      <alignment horizontal="center" vertical="top" wrapText="1"/>
    </xf>
    <xf numFmtId="166" fontId="7" fillId="0" borderId="15">
      <alignment horizontal="center" vertical="top" wrapText="1"/>
    </xf>
    <xf numFmtId="166" fontId="7" fillId="0" borderId="15">
      <alignment horizontal="center" vertical="top" wrapText="1"/>
    </xf>
    <xf numFmtId="1" fontId="7" fillId="0" borderId="0">
      <alignment horizontal="center" vertical="top" wrapText="1"/>
    </xf>
    <xf numFmtId="167" fontId="7" fillId="0" borderId="0">
      <alignment horizontal="center" vertical="top" wrapText="1"/>
    </xf>
    <xf numFmtId="166" fontId="7" fillId="0" borderId="0">
      <alignment horizontal="center" vertical="top" wrapText="1"/>
    </xf>
    <xf numFmtId="166" fontId="7" fillId="0" borderId="0">
      <alignment horizontal="center" vertical="top" wrapText="1"/>
    </xf>
    <xf numFmtId="166" fontId="7" fillId="0" borderId="0">
      <alignment horizontal="center" vertical="top" wrapText="1"/>
    </xf>
    <xf numFmtId="0" fontId="7" fillId="0" borderId="0">
      <alignment horizontal="left" vertical="top" wrapText="1"/>
    </xf>
    <xf numFmtId="0" fontId="7" fillId="0" borderId="0">
      <alignment horizontal="left" vertical="top" wrapText="1"/>
    </xf>
    <xf numFmtId="0" fontId="7" fillId="0" borderId="15">
      <alignment horizontal="left" vertical="top"/>
    </xf>
    <xf numFmtId="0" fontId="7" fillId="0" borderId="16">
      <alignment horizontal="center" vertical="top" wrapText="1"/>
    </xf>
    <xf numFmtId="0" fontId="7" fillId="0" borderId="0">
      <alignment horizontal="left" vertical="top"/>
    </xf>
    <xf numFmtId="0" fontId="7" fillId="0" borderId="14">
      <alignment horizontal="left" vertical="top"/>
    </xf>
    <xf numFmtId="0" fontId="11" fillId="4" borderId="15">
      <alignment horizontal="left" vertical="top" wrapText="1"/>
    </xf>
    <xf numFmtId="0" fontId="11" fillId="4" borderId="15">
      <alignment horizontal="left" vertical="top" wrapText="1"/>
    </xf>
    <xf numFmtId="0" fontId="8" fillId="0" borderId="15">
      <alignment horizontal="left" vertical="top" wrapText="1"/>
    </xf>
    <xf numFmtId="0" fontId="7" fillId="0" borderId="15">
      <alignment horizontal="left" vertical="top" wrapText="1"/>
    </xf>
    <xf numFmtId="0" fontId="12" fillId="0" borderId="15">
      <alignment horizontal="left" vertical="top" wrapText="1"/>
    </xf>
    <xf numFmtId="0" fontId="13" fillId="0" borderId="0"/>
    <xf numFmtId="0" fontId="15" fillId="0" borderId="0"/>
    <xf numFmtId="0" fontId="3" fillId="0" borderId="0"/>
    <xf numFmtId="0" fontId="9" fillId="0" borderId="0">
      <alignment horizontal="center" vertical="top"/>
    </xf>
    <xf numFmtId="0" fontId="7" fillId="0" borderId="17">
      <alignment horizontal="center" textRotation="90" wrapText="1"/>
    </xf>
    <xf numFmtId="0" fontId="7" fillId="0" borderId="17">
      <alignment horizontal="center" vertical="center" wrapText="1"/>
    </xf>
    <xf numFmtId="1" fontId="10" fillId="0" borderId="0">
      <alignment horizontal="center" vertical="top" wrapText="1"/>
    </xf>
    <xf numFmtId="167" fontId="10" fillId="0" borderId="15">
      <alignment horizontal="center" vertical="top" wrapText="1"/>
    </xf>
    <xf numFmtId="166" fontId="10" fillId="0" borderId="15">
      <alignment horizontal="center" vertical="top" wrapText="1"/>
    </xf>
    <xf numFmtId="166" fontId="10" fillId="0" borderId="15">
      <alignment horizontal="center" vertical="top" wrapText="1"/>
    </xf>
    <xf numFmtId="166" fontId="10" fillId="0" borderId="15">
      <alignment horizontal="center" vertical="top" wrapText="1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165" fontId="3" fillId="0" borderId="0" applyFont="0" applyFill="0" applyBorder="0" applyAlignment="0" applyProtection="0"/>
  </cellStyleXfs>
  <cellXfs count="166">
    <xf numFmtId="0" fontId="0" fillId="0" borderId="0" xfId="0"/>
    <xf numFmtId="0" fontId="17" fillId="0" borderId="0" xfId="0" applyFont="1"/>
    <xf numFmtId="0" fontId="17" fillId="3" borderId="0" xfId="0" applyFont="1" applyFill="1"/>
    <xf numFmtId="0" fontId="17" fillId="3" borderId="0" xfId="0" applyFont="1" applyFill="1" applyAlignment="1">
      <alignment horizontal="center" vertical="center"/>
    </xf>
    <xf numFmtId="0" fontId="17" fillId="5" borderId="0" xfId="0" applyFont="1" applyFill="1"/>
    <xf numFmtId="0" fontId="0" fillId="0" borderId="0" xfId="0" applyBorder="1"/>
    <xf numFmtId="0" fontId="17" fillId="0" borderId="0" xfId="0" applyFont="1" applyFill="1"/>
    <xf numFmtId="49" fontId="20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7" xfId="1" applyFont="1" applyFill="1" applyBorder="1" applyAlignment="1" applyProtection="1">
      <alignment horizontal="center" vertical="center" wrapText="1"/>
      <protection locked="0"/>
    </xf>
    <xf numFmtId="0" fontId="20" fillId="0" borderId="7" xfId="1" applyFont="1" applyFill="1" applyBorder="1" applyAlignment="1" applyProtection="1">
      <alignment horizontal="center" vertical="center"/>
      <protection locked="0"/>
    </xf>
    <xf numFmtId="0" fontId="20" fillId="0" borderId="7" xfId="1" applyFont="1" applyFill="1" applyBorder="1" applyAlignment="1" applyProtection="1">
      <alignment horizontal="center" vertical="center" wrapText="1"/>
      <protection hidden="1"/>
    </xf>
    <xf numFmtId="2" fontId="20" fillId="0" borderId="7" xfId="1" applyNumberFormat="1" applyFont="1" applyFill="1" applyBorder="1" applyAlignment="1" applyProtection="1">
      <alignment horizontal="center" vertical="center"/>
      <protection locked="0"/>
    </xf>
    <xf numFmtId="4" fontId="20" fillId="0" borderId="7" xfId="1" applyNumberFormat="1" applyFont="1" applyFill="1" applyBorder="1" applyAlignment="1" applyProtection="1">
      <alignment horizontal="center" vertical="center"/>
      <protection locked="0"/>
    </xf>
    <xf numFmtId="4" fontId="20" fillId="0" borderId="7" xfId="1" applyNumberFormat="1" applyFont="1" applyFill="1" applyBorder="1" applyAlignment="1" applyProtection="1">
      <alignment horizontal="center" vertical="center"/>
      <protection hidden="1"/>
    </xf>
    <xf numFmtId="49" fontId="20" fillId="0" borderId="7" xfId="1" applyNumberFormat="1" applyFont="1" applyFill="1" applyBorder="1" applyAlignment="1" applyProtection="1">
      <alignment horizontal="center" vertical="center"/>
      <protection locked="0"/>
    </xf>
    <xf numFmtId="0" fontId="20" fillId="0" borderId="10" xfId="1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 applyProtection="1">
      <alignment horizontal="center" vertical="center"/>
      <protection locked="0"/>
    </xf>
    <xf numFmtId="49" fontId="2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Fill="1" applyBorder="1" applyAlignment="1" applyProtection="1">
      <alignment horizontal="center" vertical="center" wrapText="1"/>
      <protection hidden="1"/>
    </xf>
    <xf numFmtId="2" fontId="20" fillId="0" borderId="7" xfId="0" applyNumberFormat="1" applyFont="1" applyFill="1" applyBorder="1" applyAlignment="1" applyProtection="1">
      <alignment horizontal="center" vertical="center"/>
      <protection locked="0"/>
    </xf>
    <xf numFmtId="4" fontId="20" fillId="0" borderId="7" xfId="0" applyNumberFormat="1" applyFont="1" applyFill="1" applyBorder="1" applyAlignment="1" applyProtection="1">
      <alignment horizontal="center" vertical="center"/>
      <protection locked="0"/>
    </xf>
    <xf numFmtId="49" fontId="20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/>
    </xf>
    <xf numFmtId="49" fontId="6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2" applyFont="1" applyFill="1" applyBorder="1" applyAlignment="1" applyProtection="1">
      <alignment horizontal="center" vertical="center" wrapText="1"/>
      <protection locked="0"/>
    </xf>
    <xf numFmtId="49" fontId="6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0" fillId="0" borderId="9" xfId="1" applyFont="1" applyFill="1" applyBorder="1" applyAlignment="1" applyProtection="1">
      <alignment horizontal="center" vertical="center"/>
      <protection locked="0"/>
    </xf>
    <xf numFmtId="49" fontId="20" fillId="0" borderId="12" xfId="1" applyNumberFormat="1" applyFont="1" applyFill="1" applyBorder="1" applyAlignment="1" applyProtection="1">
      <alignment horizontal="center" vertical="center"/>
      <protection locked="0"/>
    </xf>
    <xf numFmtId="0" fontId="20" fillId="0" borderId="21" xfId="1" applyFont="1" applyFill="1" applyBorder="1" applyAlignment="1" applyProtection="1">
      <alignment horizontal="center" vertical="center"/>
      <protection locked="0"/>
    </xf>
    <xf numFmtId="0" fontId="20" fillId="0" borderId="25" xfId="1" applyFont="1" applyFill="1" applyBorder="1" applyAlignment="1" applyProtection="1">
      <alignment horizontal="center" vertical="center"/>
      <protection locked="0"/>
    </xf>
    <xf numFmtId="4" fontId="20" fillId="3" borderId="7" xfId="1" applyNumberFormat="1" applyFont="1" applyFill="1" applyBorder="1" applyAlignment="1" applyProtection="1">
      <alignment horizontal="center" vertical="center"/>
      <protection locked="0"/>
    </xf>
    <xf numFmtId="49" fontId="20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20" fillId="3" borderId="7" xfId="1" applyFont="1" applyFill="1" applyBorder="1" applyAlignment="1" applyProtection="1">
      <alignment horizontal="center" vertical="center" wrapText="1"/>
      <protection locked="0"/>
    </xf>
    <xf numFmtId="0" fontId="20" fillId="3" borderId="7" xfId="0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4" fillId="2" borderId="26" xfId="2" applyFont="1" applyFill="1" applyBorder="1" applyAlignment="1" applyProtection="1">
      <alignment horizontal="center" vertical="center" wrapText="1"/>
      <protection locked="0"/>
    </xf>
    <xf numFmtId="0" fontId="4" fillId="2" borderId="28" xfId="2" applyFont="1" applyFill="1" applyBorder="1" applyAlignment="1" applyProtection="1">
      <alignment horizontal="center" vertical="center" wrapText="1"/>
      <protection locked="0"/>
    </xf>
    <xf numFmtId="49" fontId="4" fillId="2" borderId="27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4" fillId="2" borderId="7" xfId="2" applyFont="1" applyFill="1" applyBorder="1" applyAlignment="1" applyProtection="1">
      <alignment horizontal="center" vertical="center" wrapText="1"/>
      <protection hidden="1"/>
    </xf>
    <xf numFmtId="1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4" fontId="4" fillId="2" borderId="7" xfId="2" applyNumberFormat="1" applyFont="1" applyFill="1" applyBorder="1" applyAlignment="1" applyProtection="1">
      <alignment horizontal="center" vertical="center" wrapText="1"/>
      <protection hidden="1"/>
    </xf>
    <xf numFmtId="4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1" applyFont="1" applyFill="1" applyBorder="1" applyAlignment="1" applyProtection="1">
      <alignment horizontal="center" vertical="center"/>
      <protection locked="0"/>
    </xf>
    <xf numFmtId="49" fontId="2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0" fillId="3" borderId="22" xfId="1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hidden="1"/>
    </xf>
    <xf numFmtId="2" fontId="20" fillId="0" borderId="22" xfId="0" applyNumberFormat="1" applyFont="1" applyFill="1" applyBorder="1" applyAlignment="1" applyProtection="1">
      <alignment horizontal="center" vertical="center"/>
      <protection locked="0"/>
    </xf>
    <xf numFmtId="4" fontId="20" fillId="0" borderId="22" xfId="0" applyNumberFormat="1" applyFont="1" applyFill="1" applyBorder="1" applyAlignment="1" applyProtection="1">
      <alignment horizontal="center" vertical="center"/>
      <protection locked="0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 vertical="center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49" fontId="20" fillId="0" borderId="22" xfId="0" applyNumberFormat="1" applyFont="1" applyFill="1" applyBorder="1" applyAlignment="1" applyProtection="1">
      <alignment horizontal="center" vertical="center"/>
      <protection locked="0"/>
    </xf>
    <xf numFmtId="49" fontId="20" fillId="5" borderId="7" xfId="1" applyNumberFormat="1" applyFont="1" applyFill="1" applyBorder="1" applyAlignment="1" applyProtection="1">
      <alignment horizontal="center" vertical="center"/>
      <protection locked="0"/>
    </xf>
    <xf numFmtId="4" fontId="20" fillId="6" borderId="7" xfId="1" applyNumberFormat="1" applyFont="1" applyFill="1" applyBorder="1" applyAlignment="1" applyProtection="1">
      <alignment horizontal="center" vertical="center"/>
      <protection hidden="1"/>
    </xf>
    <xf numFmtId="4" fontId="20" fillId="6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/>
    <xf numFmtId="49" fontId="20" fillId="6" borderId="7" xfId="1" applyNumberFormat="1" applyFont="1" applyFill="1" applyBorder="1" applyAlignment="1" applyProtection="1">
      <alignment horizontal="center" vertical="center"/>
      <protection locked="0"/>
    </xf>
    <xf numFmtId="49" fontId="20" fillId="6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>
      <alignment horizontal="center" vertical="center"/>
    </xf>
    <xf numFmtId="49" fontId="20" fillId="6" borderId="7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wrapText="1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4" xfId="2" applyFont="1" applyFill="1" applyBorder="1" applyAlignment="1" applyProtection="1">
      <alignment horizontal="center" vertical="center" wrapText="1"/>
      <protection locked="0"/>
    </xf>
    <xf numFmtId="4" fontId="4" fillId="2" borderId="2" xfId="2" applyNumberFormat="1" applyFont="1" applyFill="1" applyBorder="1" applyAlignment="1" applyProtection="1">
      <alignment horizontal="center" vertical="center" wrapText="1"/>
      <protection hidden="1"/>
    </xf>
    <xf numFmtId="4" fontId="4" fillId="2" borderId="4" xfId="2" applyNumberFormat="1" applyFont="1" applyFill="1" applyBorder="1" applyAlignment="1" applyProtection="1">
      <alignment horizontal="center" vertical="center" wrapText="1"/>
      <protection hidden="1"/>
    </xf>
    <xf numFmtId="0" fontId="4" fillId="2" borderId="24" xfId="2" applyFont="1" applyFill="1" applyBorder="1" applyAlignment="1" applyProtection="1">
      <alignment horizontal="center" vertical="center" wrapText="1"/>
      <protection locked="0"/>
    </xf>
    <xf numFmtId="4" fontId="20" fillId="0" borderId="22" xfId="1" applyNumberFormat="1" applyFont="1" applyFill="1" applyBorder="1" applyAlignment="1" applyProtection="1">
      <alignment horizontal="center" vertical="center"/>
      <protection locked="0"/>
    </xf>
    <xf numFmtId="4" fontId="18" fillId="0" borderId="0" xfId="0" applyNumberFormat="1" applyFont="1"/>
    <xf numFmtId="49" fontId="2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0" xfId="0" applyNumberFormat="1" applyFont="1" applyFill="1"/>
    <xf numFmtId="0" fontId="0" fillId="0" borderId="0" xfId="0"/>
    <xf numFmtId="0" fontId="21" fillId="3" borderId="0" xfId="0" applyFont="1" applyFill="1" applyAlignment="1">
      <alignment horizontal="center" vertical="center" wrapText="1"/>
    </xf>
    <xf numFmtId="49" fontId="20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1" applyNumberFormat="1" applyFont="1" applyFill="1" applyBorder="1" applyAlignment="1" applyProtection="1">
      <alignment vertical="center" wrapText="1"/>
      <protection locked="0"/>
    </xf>
    <xf numFmtId="0" fontId="20" fillId="0" borderId="0" xfId="1" applyFont="1" applyFill="1" applyBorder="1" applyAlignment="1" applyProtection="1">
      <alignment horizontal="center" vertical="center" wrapText="1"/>
      <protection locked="0"/>
    </xf>
    <xf numFmtId="0" fontId="20" fillId="0" borderId="0" xfId="1" applyFont="1" applyFill="1" applyBorder="1" applyAlignment="1" applyProtection="1">
      <alignment horizontal="center" vertical="center" wrapText="1"/>
      <protection hidden="1"/>
    </xf>
    <xf numFmtId="2" fontId="20" fillId="0" borderId="0" xfId="1" applyNumberFormat="1" applyFont="1" applyFill="1" applyBorder="1" applyAlignment="1" applyProtection="1">
      <alignment horizontal="center" vertical="center"/>
      <protection locked="0"/>
    </xf>
    <xf numFmtId="4" fontId="20" fillId="0" borderId="0" xfId="1" applyNumberFormat="1" applyFont="1" applyFill="1" applyBorder="1" applyAlignment="1" applyProtection="1">
      <alignment horizontal="center" vertical="center"/>
      <protection locked="0"/>
    </xf>
    <xf numFmtId="4" fontId="20" fillId="0" borderId="0" xfId="1" applyNumberFormat="1" applyFont="1" applyFill="1" applyBorder="1" applyAlignment="1" applyProtection="1">
      <alignment horizontal="center" vertical="center"/>
      <protection hidden="1"/>
    </xf>
    <xf numFmtId="49" fontId="20" fillId="0" borderId="0" xfId="1" applyNumberFormat="1" applyFont="1" applyFill="1" applyBorder="1" applyAlignment="1" applyProtection="1">
      <alignment horizontal="center" vertical="center"/>
      <protection locked="0"/>
    </xf>
    <xf numFmtId="49" fontId="20" fillId="0" borderId="7" xfId="1" applyNumberFormat="1" applyFont="1" applyFill="1" applyBorder="1" applyAlignment="1" applyProtection="1">
      <alignment horizontal="left" vertical="center" wrapText="1"/>
      <protection locked="0"/>
    </xf>
    <xf numFmtId="49" fontId="20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1" applyFont="1" applyFill="1" applyBorder="1" applyAlignment="1" applyProtection="1">
      <alignment horizontal="center" vertical="center"/>
      <protection locked="0"/>
    </xf>
    <xf numFmtId="0" fontId="20" fillId="0" borderId="19" xfId="1" applyFont="1" applyFill="1" applyBorder="1" applyAlignment="1" applyProtection="1">
      <alignment horizontal="center" vertical="center"/>
      <protection locked="0"/>
    </xf>
    <xf numFmtId="49" fontId="20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20" fillId="0" borderId="19" xfId="1" applyNumberFormat="1" applyFont="1" applyFill="1" applyBorder="1" applyAlignment="1" applyProtection="1">
      <alignment horizontal="left" vertical="center" wrapText="1"/>
      <protection locked="0"/>
    </xf>
    <xf numFmtId="0" fontId="20" fillId="0" borderId="19" xfId="1" applyFont="1" applyFill="1" applyBorder="1" applyAlignment="1" applyProtection="1">
      <alignment horizontal="center" vertical="center" wrapText="1"/>
      <protection locked="0"/>
    </xf>
    <xf numFmtId="0" fontId="20" fillId="0" borderId="19" xfId="1" applyFont="1" applyFill="1" applyBorder="1" applyAlignment="1" applyProtection="1">
      <alignment horizontal="center" vertical="center" wrapText="1"/>
      <protection hidden="1"/>
    </xf>
    <xf numFmtId="2" fontId="20" fillId="0" borderId="19" xfId="1" applyNumberFormat="1" applyFont="1" applyFill="1" applyBorder="1" applyAlignment="1" applyProtection="1">
      <alignment horizontal="center" vertical="center"/>
      <protection locked="0"/>
    </xf>
    <xf numFmtId="4" fontId="20" fillId="0" borderId="19" xfId="1" applyNumberFormat="1" applyFont="1" applyFill="1" applyBorder="1" applyAlignment="1" applyProtection="1">
      <alignment horizontal="center" vertical="center"/>
      <protection locked="0"/>
    </xf>
    <xf numFmtId="4" fontId="20" fillId="0" borderId="19" xfId="1" applyNumberFormat="1" applyFont="1" applyFill="1" applyBorder="1" applyAlignment="1" applyProtection="1">
      <alignment horizontal="center" vertical="center"/>
      <protection hidden="1"/>
    </xf>
    <xf numFmtId="49" fontId="20" fillId="0" borderId="19" xfId="1" applyNumberFormat="1" applyFont="1" applyFill="1" applyBorder="1" applyAlignment="1" applyProtection="1">
      <alignment horizontal="center" vertical="center"/>
      <protection locked="0"/>
    </xf>
    <xf numFmtId="0" fontId="20" fillId="0" borderId="11" xfId="1" applyFont="1" applyFill="1" applyBorder="1" applyAlignment="1" applyProtection="1">
      <alignment horizontal="center" vertical="center"/>
      <protection locked="0"/>
    </xf>
    <xf numFmtId="0" fontId="20" fillId="0" borderId="12" xfId="1" applyFont="1" applyFill="1" applyBorder="1" applyAlignment="1" applyProtection="1">
      <alignment horizontal="center" vertical="center"/>
      <protection locked="0"/>
    </xf>
    <xf numFmtId="49" fontId="2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1" applyFont="1" applyFill="1" applyBorder="1" applyAlignment="1" applyProtection="1">
      <alignment horizontal="center" vertical="center" wrapText="1"/>
      <protection locked="0"/>
    </xf>
    <xf numFmtId="0" fontId="20" fillId="0" borderId="12" xfId="1" applyFont="1" applyFill="1" applyBorder="1" applyAlignment="1" applyProtection="1">
      <alignment horizontal="center" vertical="center" wrapText="1"/>
      <protection hidden="1"/>
    </xf>
    <xf numFmtId="2" fontId="20" fillId="0" borderId="12" xfId="1" applyNumberFormat="1" applyFont="1" applyFill="1" applyBorder="1" applyAlignment="1" applyProtection="1">
      <alignment horizontal="center" vertical="center"/>
      <protection locked="0"/>
    </xf>
    <xf numFmtId="4" fontId="20" fillId="0" borderId="12" xfId="1" applyNumberFormat="1" applyFont="1" applyFill="1" applyBorder="1" applyAlignment="1" applyProtection="1">
      <alignment horizontal="center" vertical="center"/>
      <protection locked="0"/>
    </xf>
    <xf numFmtId="4" fontId="20" fillId="0" borderId="12" xfId="1" applyNumberFormat="1" applyFont="1" applyFill="1" applyBorder="1" applyAlignment="1" applyProtection="1">
      <alignment horizontal="center" vertical="center"/>
      <protection hidden="1"/>
    </xf>
    <xf numFmtId="0" fontId="4" fillId="2" borderId="37" xfId="2" applyFont="1" applyFill="1" applyBorder="1" applyAlignment="1" applyProtection="1">
      <alignment horizontal="center" vertical="center" wrapText="1"/>
      <protection locked="0"/>
    </xf>
    <xf numFmtId="0" fontId="4" fillId="2" borderId="6" xfId="2" applyFont="1" applyFill="1" applyBorder="1" applyAlignment="1" applyProtection="1">
      <alignment horizontal="center" vertical="center" wrapText="1"/>
      <protection locked="0"/>
    </xf>
    <xf numFmtId="0" fontId="4" fillId="2" borderId="8" xfId="2" applyFont="1" applyFill="1" applyBorder="1" applyAlignment="1" applyProtection="1">
      <alignment horizontal="center" vertical="center" wrapText="1"/>
      <protection locked="0"/>
    </xf>
    <xf numFmtId="49" fontId="4" fillId="2" borderId="38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wrapText="1"/>
    </xf>
    <xf numFmtId="0" fontId="20" fillId="0" borderId="13" xfId="1" applyFont="1" applyFill="1" applyBorder="1" applyAlignment="1" applyProtection="1">
      <alignment horizontal="center" vertical="center"/>
      <protection locked="0"/>
    </xf>
    <xf numFmtId="0" fontId="20" fillId="0" borderId="20" xfId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wrapText="1"/>
    </xf>
    <xf numFmtId="0" fontId="21" fillId="3" borderId="0" xfId="0" applyFont="1" applyFill="1" applyBorder="1" applyAlignment="1">
      <alignment horizontal="center" vertical="center" wrapText="1"/>
    </xf>
    <xf numFmtId="0" fontId="5" fillId="0" borderId="0" xfId="1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1" xfId="2" applyFont="1" applyFill="1" applyBorder="1" applyAlignment="1" applyProtection="1">
      <alignment horizontal="center" vertical="center" wrapText="1"/>
      <protection locked="0"/>
    </xf>
    <xf numFmtId="0" fontId="4" fillId="2" borderId="23" xfId="2" applyFont="1" applyFill="1" applyBorder="1" applyAlignment="1" applyProtection="1">
      <alignment horizontal="center" vertical="center" wrapText="1"/>
      <protection locked="0"/>
    </xf>
    <xf numFmtId="0" fontId="4" fillId="2" borderId="22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hidden="1"/>
    </xf>
    <xf numFmtId="0" fontId="4" fillId="2" borderId="4" xfId="2" applyFont="1" applyFill="1" applyBorder="1" applyAlignment="1" applyProtection="1">
      <alignment horizontal="center" vertical="center" wrapText="1"/>
      <protection hidden="1"/>
    </xf>
    <xf numFmtId="4" fontId="4" fillId="2" borderId="2" xfId="2" applyNumberFormat="1" applyFont="1" applyFill="1" applyBorder="1" applyAlignment="1" applyProtection="1">
      <alignment horizontal="center" vertical="center" wrapText="1"/>
      <protection hidden="1"/>
    </xf>
    <xf numFmtId="4" fontId="4" fillId="2" borderId="4" xfId="2" applyNumberFormat="1" applyFont="1" applyFill="1" applyBorder="1" applyAlignment="1" applyProtection="1">
      <alignment horizontal="center" vertical="center" wrapText="1"/>
      <protection hidden="1"/>
    </xf>
    <xf numFmtId="1" fontId="4" fillId="2" borderId="2" xfId="2" applyNumberFormat="1" applyFont="1" applyFill="1" applyBorder="1" applyAlignment="1" applyProtection="1">
      <alignment horizontal="center" vertical="center" wrapText="1"/>
      <protection locked="0"/>
    </xf>
    <xf numFmtId="1" fontId="4" fillId="2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2" borderId="2" xfId="2" applyNumberFormat="1" applyFont="1" applyFill="1" applyBorder="1" applyAlignment="1" applyProtection="1">
      <alignment horizontal="center" vertical="center" wrapText="1"/>
      <protection locked="0"/>
    </xf>
    <xf numFmtId="4" fontId="4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wrapText="1"/>
    </xf>
    <xf numFmtId="49" fontId="4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2" applyNumberFormat="1" applyFont="1" applyFill="1" applyBorder="1" applyAlignment="1" applyProtection="1">
      <alignment horizontal="center" vertical="center" wrapText="1"/>
      <protection locked="0"/>
    </xf>
    <xf numFmtId="1" fontId="4" fillId="2" borderId="3" xfId="2" applyNumberFormat="1" applyFont="1" applyFill="1" applyBorder="1" applyAlignment="1" applyProtection="1">
      <alignment horizontal="center" vertical="center" wrapText="1"/>
      <protection locked="0"/>
    </xf>
    <xf numFmtId="1" fontId="4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wrapText="1"/>
    </xf>
    <xf numFmtId="0" fontId="4" fillId="2" borderId="31" xfId="2" applyFont="1" applyFill="1" applyBorder="1" applyAlignment="1" applyProtection="1">
      <alignment horizontal="center" vertical="center" wrapText="1"/>
      <protection locked="0"/>
    </xf>
    <xf numFmtId="0" fontId="4" fillId="2" borderId="32" xfId="2" applyFont="1" applyFill="1" applyBorder="1" applyAlignment="1" applyProtection="1">
      <alignment horizontal="center" vertical="center" wrapText="1"/>
      <protection locked="0"/>
    </xf>
    <xf numFmtId="0" fontId="4" fillId="2" borderId="33" xfId="2" applyFont="1" applyFill="1" applyBorder="1" applyAlignment="1" applyProtection="1">
      <alignment horizontal="center" vertical="center" wrapText="1"/>
      <protection locked="0"/>
    </xf>
    <xf numFmtId="0" fontId="4" fillId="2" borderId="34" xfId="2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2" borderId="33" xfId="2" applyFont="1" applyFill="1" applyBorder="1" applyAlignment="1" applyProtection="1">
      <alignment horizontal="center" vertical="center" wrapText="1"/>
      <protection hidden="1"/>
    </xf>
    <xf numFmtId="0" fontId="4" fillId="2" borderId="34" xfId="2" applyFont="1" applyFill="1" applyBorder="1" applyAlignment="1" applyProtection="1">
      <alignment horizontal="center" vertical="center" wrapText="1"/>
      <protection hidden="1"/>
    </xf>
    <xf numFmtId="1" fontId="4" fillId="2" borderId="31" xfId="2" applyNumberFormat="1" applyFont="1" applyFill="1" applyBorder="1" applyAlignment="1" applyProtection="1">
      <alignment horizontal="center" vertical="center" wrapText="1"/>
      <protection locked="0"/>
    </xf>
    <xf numFmtId="1" fontId="4" fillId="2" borderId="32" xfId="2" applyNumberFormat="1" applyFont="1" applyFill="1" applyBorder="1" applyAlignment="1" applyProtection="1">
      <alignment horizontal="center" vertical="center" wrapText="1"/>
      <protection locked="0"/>
    </xf>
    <xf numFmtId="1" fontId="4" fillId="2" borderId="33" xfId="2" applyNumberFormat="1" applyFont="1" applyFill="1" applyBorder="1" applyAlignment="1" applyProtection="1">
      <alignment horizontal="center" vertical="center" wrapText="1"/>
      <protection locked="0"/>
    </xf>
    <xf numFmtId="1" fontId="4" fillId="2" borderId="34" xfId="2" applyNumberFormat="1" applyFont="1" applyFill="1" applyBorder="1" applyAlignment="1" applyProtection="1">
      <alignment horizontal="center" vertical="center" wrapText="1"/>
      <protection locked="0"/>
    </xf>
    <xf numFmtId="0" fontId="22" fillId="3" borderId="0" xfId="0" applyFont="1" applyFill="1" applyBorder="1" applyAlignment="1">
      <alignment horizontal="center" vertical="center" wrapText="1"/>
    </xf>
    <xf numFmtId="4" fontId="4" fillId="2" borderId="31" xfId="2" applyNumberFormat="1" applyFont="1" applyFill="1" applyBorder="1" applyAlignment="1" applyProtection="1">
      <alignment horizontal="center" vertical="center" wrapText="1"/>
      <protection hidden="1"/>
    </xf>
    <xf numFmtId="4" fontId="4" fillId="2" borderId="32" xfId="2" applyNumberFormat="1" applyFont="1" applyFill="1" applyBorder="1" applyAlignment="1" applyProtection="1">
      <alignment horizontal="center" vertical="center" wrapText="1"/>
      <protection hidden="1"/>
    </xf>
    <xf numFmtId="49" fontId="4" fillId="2" borderId="31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32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33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34" xfId="2" applyNumberFormat="1" applyFont="1" applyFill="1" applyBorder="1" applyAlignment="1" applyProtection="1">
      <alignment horizontal="center" vertical="center" wrapText="1"/>
      <protection locked="0"/>
    </xf>
    <xf numFmtId="1" fontId="4" fillId="2" borderId="35" xfId="2" applyNumberFormat="1" applyFont="1" applyFill="1" applyBorder="1" applyAlignment="1" applyProtection="1">
      <alignment horizontal="center" vertical="center" wrapText="1"/>
      <protection locked="0"/>
    </xf>
    <xf numFmtId="1" fontId="4" fillId="2" borderId="36" xfId="2" applyNumberFormat="1" applyFont="1" applyFill="1" applyBorder="1" applyAlignment="1" applyProtection="1">
      <alignment horizontal="center" vertical="center" wrapText="1"/>
      <protection locked="0"/>
    </xf>
  </cellXfs>
  <cellStyles count="75">
    <cellStyle name="Cell1" xfId="5"/>
    <cellStyle name="Cell2" xfId="4"/>
    <cellStyle name="Cell3" xfId="6"/>
    <cellStyle name="Cell4" xfId="7"/>
    <cellStyle name="Cell5" xfId="8"/>
    <cellStyle name="Column1" xfId="9"/>
    <cellStyle name="Column2" xfId="10"/>
    <cellStyle name="Column3" xfId="11"/>
    <cellStyle name="Column4" xfId="12"/>
    <cellStyle name="Column5" xfId="13"/>
    <cellStyle name="Column7" xfId="14"/>
    <cellStyle name="Data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4" xfId="23"/>
    <cellStyle name="Name5" xfId="24"/>
    <cellStyle name="Normal 5" xfId="25"/>
    <cellStyle name="Normal 6" xfId="26"/>
    <cellStyle name="Normal_формы ПР утвержденные" xfId="27"/>
    <cellStyle name="Title1" xfId="28"/>
    <cellStyle name="TitleCol1" xfId="29"/>
    <cellStyle name="TitleCol2" xfId="30"/>
    <cellStyle name="White1" xfId="31"/>
    <cellStyle name="White2" xfId="32"/>
    <cellStyle name="White3" xfId="33"/>
    <cellStyle name="White4" xfId="34"/>
    <cellStyle name="White5" xfId="35"/>
    <cellStyle name="Денежный 2" xfId="67"/>
    <cellStyle name="КАНДАГАЧ тел3-33-96" xfId="36"/>
    <cellStyle name="Обычный" xfId="0" builtinId="0"/>
    <cellStyle name="Обычный 10" xfId="37"/>
    <cellStyle name="Обычный 11" xfId="38"/>
    <cellStyle name="Обычный 12" xfId="39"/>
    <cellStyle name="Обычный 14" xfId="40"/>
    <cellStyle name="Обычный 15" xfId="41"/>
    <cellStyle name="Обычный 16" xfId="42"/>
    <cellStyle name="Обычный 17" xfId="43"/>
    <cellStyle name="Обычный 18" xfId="44"/>
    <cellStyle name="Обычный 19" xfId="45"/>
    <cellStyle name="Обычный 2" xfId="2"/>
    <cellStyle name="Обычный 2 2" xfId="46"/>
    <cellStyle name="Обычный 20" xfId="47"/>
    <cellStyle name="Обычный 24" xfId="48"/>
    <cellStyle name="Обычный 26" xfId="49"/>
    <cellStyle name="Обычный 26 2" xfId="50"/>
    <cellStyle name="Обычный 3" xfId="1"/>
    <cellStyle name="Обычный 3 2" xfId="51"/>
    <cellStyle name="Обычный 3 3" xfId="73"/>
    <cellStyle name="Обычный 3 4" xfId="52"/>
    <cellStyle name="Обычный 32" xfId="53"/>
    <cellStyle name="Обычный 33" xfId="54"/>
    <cellStyle name="Обычный 34" xfId="55"/>
    <cellStyle name="Обычный 35" xfId="56"/>
    <cellStyle name="Обычный 4" xfId="57"/>
    <cellStyle name="Обычный 4 5" xfId="58"/>
    <cellStyle name="Обычный 5" xfId="72"/>
    <cellStyle name="Обычный 7" xfId="59"/>
    <cellStyle name="Обычный 7 6" xfId="60"/>
    <cellStyle name="Обычный 7 7" xfId="61"/>
    <cellStyle name="Обычный 8" xfId="62"/>
    <cellStyle name="Обычный 9 8" xfId="63"/>
    <cellStyle name="Обычный 9 9" xfId="64"/>
    <cellStyle name="Процентный 2" xfId="69"/>
    <cellStyle name="Процентный 3" xfId="68"/>
    <cellStyle name="Стиль 1" xfId="65"/>
    <cellStyle name="Стиль 1 2" xfId="66"/>
    <cellStyle name="Финансовый 2" xfId="3"/>
    <cellStyle name="Финансовый 2 2" xfId="70"/>
    <cellStyle name="Финансовый 3" xfId="71"/>
    <cellStyle name="Финансовый 4" xfId="74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/AppData/Local/Microsoft/Windows/Temporary%20Internet%20Files/Content.Outlook/VXEMQXNN/&#1050;&#1086;&#1087;&#1080;&#1103;%20&#1064;&#1072;&#1073;&#1083;&#1086;&#1085;%20&#1087;&#1083;&#1072;&#1085;&#1072;%20&#1043;&#1047;_ru_v47_2013-2014%20&#1075;&#1086;&#1076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2\AppData\Local\Microsoft\Windows\Temporary%20Internet%20Files\Content.Outlook\VXEMQXNN\&#1050;&#1086;&#1087;&#1080;&#1103;%20&#1064;&#1072;&#1073;&#1083;&#1086;&#1085;%20&#1087;&#1083;&#1072;&#1085;&#1072;%20&#1043;&#1047;_ru_v47_2013-2014%20&#1075;&#1086;&#1076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2012</v>
          </cell>
        </row>
      </sheetData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>
        <row r="1">
          <cell r="A1" t="str">
            <v>Способ</v>
          </cell>
        </row>
      </sheetData>
      <sheetData sheetId="3"/>
      <sheetData sheetId="4">
        <row r="1">
          <cell r="A1" t="str">
            <v>111 Оплата труда</v>
          </cell>
        </row>
      </sheetData>
      <sheetData sheetId="5">
        <row r="1">
          <cell r="A1" t="str">
            <v>1 Бюджет</v>
          </cell>
        </row>
      </sheetData>
      <sheetData sheetId="6">
        <row r="1">
          <cell r="A1" t="str">
            <v>01 Конкурс</v>
          </cell>
        </row>
      </sheetData>
      <sheetData sheetId="7">
        <row r="1">
          <cell r="A1" t="str">
            <v>Товар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2012</v>
          </cell>
        </row>
      </sheetData>
      <sheetData sheetId="10">
        <row r="1">
          <cell r="A1" t="str">
            <v>01 Закупки, не превышающие финансовый год</v>
          </cell>
        </row>
      </sheetData>
      <sheetData sheetId="11">
        <row r="2">
          <cell r="A2" t="str">
            <v>110000000</v>
          </cell>
        </row>
      </sheetData>
      <sheetData sheetId="12">
        <row r="2">
          <cell r="A2" t="str">
            <v>101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N59"/>
  <sheetViews>
    <sheetView topLeftCell="A4" zoomScale="50" zoomScaleNormal="50" workbookViewId="0">
      <selection activeCell="T18" sqref="T18"/>
    </sheetView>
  </sheetViews>
  <sheetFormatPr defaultRowHeight="15"/>
  <cols>
    <col min="1" max="1" width="6" customWidth="1"/>
    <col min="2" max="2" width="17.140625" hidden="1" customWidth="1"/>
    <col min="3" max="3" width="14.28515625" hidden="1" customWidth="1"/>
    <col min="4" max="4" width="27" hidden="1" customWidth="1"/>
    <col min="5" max="5" width="27.42578125" hidden="1" customWidth="1"/>
    <col min="6" max="6" width="27.7109375" hidden="1" customWidth="1"/>
    <col min="7" max="7" width="40.140625" customWidth="1"/>
    <col min="8" max="8" width="21.42578125" customWidth="1"/>
    <col min="9" max="9" width="16" customWidth="1"/>
    <col min="10" max="10" width="14.140625" customWidth="1"/>
    <col min="11" max="11" width="20.7109375" customWidth="1"/>
    <col min="12" max="12" width="18.85546875" customWidth="1"/>
    <col min="13" max="27" width="17.28515625" customWidth="1"/>
    <col min="28" max="28" width="15.85546875" customWidth="1"/>
    <col min="29" max="29" width="18.140625" customWidth="1"/>
    <col min="30" max="30" width="12.42578125" customWidth="1"/>
    <col min="31" max="31" width="17.85546875" customWidth="1"/>
    <col min="32" max="32" width="12.140625" customWidth="1"/>
    <col min="33" max="33" width="10.5703125" customWidth="1"/>
    <col min="36" max="37" width="9.7109375" bestFit="1" customWidth="1"/>
  </cols>
  <sheetData>
    <row r="2" spans="1:456" ht="15.75">
      <c r="AC2" s="26" t="s">
        <v>82</v>
      </c>
      <c r="AD2" s="26"/>
    </row>
    <row r="3" spans="1:456" ht="15.75">
      <c r="AC3" s="26" t="s">
        <v>117</v>
      </c>
      <c r="AD3" s="26"/>
    </row>
    <row r="6" spans="1:456" ht="18.75">
      <c r="A6" s="119" t="s">
        <v>90</v>
      </c>
      <c r="B6" s="119"/>
      <c r="C6" s="119"/>
      <c r="D6" s="120"/>
      <c r="E6" s="120"/>
      <c r="F6" s="120"/>
      <c r="G6" s="120"/>
      <c r="H6" s="120"/>
      <c r="I6" s="120"/>
      <c r="J6" s="120"/>
      <c r="K6" s="120"/>
    </row>
    <row r="7" spans="1:456" ht="15.75" thickBot="1"/>
    <row r="8" spans="1:456" ht="53.45" customHeight="1" thickBot="1">
      <c r="C8" s="23" t="s">
        <v>63</v>
      </c>
      <c r="D8" s="23" t="s">
        <v>73</v>
      </c>
      <c r="E8" s="25" t="s">
        <v>0</v>
      </c>
      <c r="F8" s="24" t="s">
        <v>91</v>
      </c>
    </row>
    <row r="9" spans="1:456" ht="15.75" thickBot="1"/>
    <row r="10" spans="1:456" s="1" customFormat="1" ht="12" customHeight="1">
      <c r="A10" s="121" t="s">
        <v>1</v>
      </c>
      <c r="B10" s="123" t="s">
        <v>118</v>
      </c>
      <c r="C10" s="125" t="s">
        <v>2</v>
      </c>
      <c r="D10" s="125" t="s">
        <v>65</v>
      </c>
      <c r="E10" s="125" t="s">
        <v>66</v>
      </c>
      <c r="F10" s="125" t="s">
        <v>67</v>
      </c>
      <c r="G10" s="125" t="s">
        <v>68</v>
      </c>
      <c r="H10" s="125" t="s">
        <v>3</v>
      </c>
      <c r="I10" s="128" t="s">
        <v>69</v>
      </c>
      <c r="J10" s="132" t="s">
        <v>4</v>
      </c>
      <c r="K10" s="132" t="s">
        <v>5</v>
      </c>
      <c r="L10" s="130" t="s">
        <v>6</v>
      </c>
      <c r="M10" s="134" t="s">
        <v>7</v>
      </c>
      <c r="N10" s="134" t="s">
        <v>70</v>
      </c>
      <c r="O10" s="134" t="s">
        <v>71</v>
      </c>
      <c r="P10" s="134" t="s">
        <v>130</v>
      </c>
      <c r="Q10" s="130" t="s">
        <v>129</v>
      </c>
      <c r="R10" s="130" t="s">
        <v>128</v>
      </c>
      <c r="S10" s="130" t="s">
        <v>131</v>
      </c>
      <c r="T10" s="130" t="s">
        <v>132</v>
      </c>
      <c r="U10" s="130"/>
      <c r="V10" s="130"/>
      <c r="W10" s="130"/>
      <c r="X10" s="130" t="s">
        <v>115</v>
      </c>
      <c r="Y10" s="68"/>
      <c r="Z10" s="130" t="s">
        <v>126</v>
      </c>
      <c r="AA10" s="130" t="s">
        <v>127</v>
      </c>
      <c r="AB10" s="137" t="s">
        <v>8</v>
      </c>
      <c r="AC10" s="137" t="s">
        <v>9</v>
      </c>
      <c r="AD10" s="139" t="s">
        <v>10</v>
      </c>
    </row>
    <row r="11" spans="1:456" s="1" customFormat="1" ht="121.15" customHeight="1">
      <c r="A11" s="122"/>
      <c r="B11" s="124"/>
      <c r="C11" s="126"/>
      <c r="D11" s="126"/>
      <c r="E11" s="126"/>
      <c r="F11" s="126"/>
      <c r="G11" s="127"/>
      <c r="H11" s="127"/>
      <c r="I11" s="129"/>
      <c r="J11" s="133"/>
      <c r="K11" s="133"/>
      <c r="L11" s="131"/>
      <c r="M11" s="135"/>
      <c r="N11" s="135" t="s">
        <v>70</v>
      </c>
      <c r="O11" s="135"/>
      <c r="P11" s="135"/>
      <c r="Q11" s="131"/>
      <c r="R11" s="131"/>
      <c r="S11" s="131"/>
      <c r="T11" s="131"/>
      <c r="U11" s="131"/>
      <c r="V11" s="131"/>
      <c r="W11" s="131"/>
      <c r="X11" s="131"/>
      <c r="Y11" s="69"/>
      <c r="Z11" s="131"/>
      <c r="AA11" s="131"/>
      <c r="AB11" s="138"/>
      <c r="AC11" s="138"/>
      <c r="AD11" s="140"/>
    </row>
    <row r="12" spans="1:456" s="1" customFormat="1" ht="19.149999999999999" customHeight="1">
      <c r="A12" s="39"/>
      <c r="B12" s="39"/>
      <c r="C12" s="40"/>
      <c r="D12" s="40"/>
      <c r="E12" s="40"/>
      <c r="F12" s="40"/>
      <c r="G12" s="39"/>
      <c r="H12" s="39"/>
      <c r="I12" s="41"/>
      <c r="J12" s="42"/>
      <c r="K12" s="42"/>
      <c r="L12" s="43"/>
      <c r="M12" s="44"/>
      <c r="N12" s="44"/>
      <c r="O12" s="44"/>
      <c r="P12" s="44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5"/>
      <c r="AC12" s="45"/>
      <c r="AD12" s="42"/>
    </row>
    <row r="13" spans="1:456" s="1" customFormat="1" ht="21" customHeight="1" thickBot="1">
      <c r="A13" s="37">
        <v>0</v>
      </c>
      <c r="B13" s="36">
        <v>1</v>
      </c>
      <c r="C13" s="67">
        <v>2</v>
      </c>
      <c r="D13" s="67">
        <v>3</v>
      </c>
      <c r="E13" s="67">
        <v>4</v>
      </c>
      <c r="F13" s="67">
        <v>5</v>
      </c>
      <c r="G13" s="67">
        <v>6</v>
      </c>
      <c r="H13" s="67">
        <v>7</v>
      </c>
      <c r="I13" s="67">
        <v>8</v>
      </c>
      <c r="J13" s="67">
        <v>9</v>
      </c>
      <c r="K13" s="67">
        <v>10</v>
      </c>
      <c r="L13" s="67">
        <v>11</v>
      </c>
      <c r="M13" s="67">
        <v>12</v>
      </c>
      <c r="N13" s="67">
        <v>13</v>
      </c>
      <c r="O13" s="67">
        <v>14</v>
      </c>
      <c r="P13" s="67"/>
      <c r="Q13" s="67"/>
      <c r="R13" s="67"/>
      <c r="S13" s="67"/>
      <c r="T13" s="67"/>
      <c r="U13" s="67"/>
      <c r="V13" s="67"/>
      <c r="W13" s="67"/>
      <c r="X13" s="67"/>
      <c r="Y13" s="70"/>
      <c r="Z13" s="67"/>
      <c r="AA13" s="67"/>
      <c r="AB13" s="67">
        <v>15</v>
      </c>
      <c r="AC13" s="67">
        <v>16</v>
      </c>
      <c r="AD13" s="38" t="s">
        <v>119</v>
      </c>
    </row>
    <row r="14" spans="1:456" s="4" customFormat="1" ht="126">
      <c r="A14" s="27">
        <v>3</v>
      </c>
      <c r="B14" s="30" t="s">
        <v>120</v>
      </c>
      <c r="C14" s="7" t="s">
        <v>11</v>
      </c>
      <c r="D14" s="7" t="s">
        <v>19</v>
      </c>
      <c r="E14" s="7" t="s">
        <v>19</v>
      </c>
      <c r="F14" s="7" t="s">
        <v>20</v>
      </c>
      <c r="G14" s="7" t="s">
        <v>21</v>
      </c>
      <c r="H14" s="8" t="s">
        <v>72</v>
      </c>
      <c r="I14" s="10" t="s">
        <v>14</v>
      </c>
      <c r="J14" s="11">
        <v>1</v>
      </c>
      <c r="K14" s="12">
        <f>22840755.84/1.12</f>
        <v>20393531.999999996</v>
      </c>
      <c r="L14" s="13">
        <f>K14</f>
        <v>20393531.999999996</v>
      </c>
      <c r="M14" s="9"/>
      <c r="N14" s="9"/>
      <c r="O14" s="9"/>
      <c r="P14" s="9"/>
      <c r="Q14" s="12">
        <f>-(10178.57+66964.29)</f>
        <v>-77142.859999999986</v>
      </c>
      <c r="R14" s="12"/>
      <c r="S14" s="12"/>
      <c r="T14" s="12"/>
      <c r="U14" s="12"/>
      <c r="V14" s="12"/>
      <c r="W14" s="12"/>
      <c r="X14" s="12">
        <f>L14+Q14</f>
        <v>20316389.139999997</v>
      </c>
      <c r="Y14" s="12"/>
      <c r="Z14" s="12"/>
      <c r="AA14" s="12"/>
      <c r="AB14" s="62" t="s">
        <v>158</v>
      </c>
      <c r="AC14" s="14" t="s">
        <v>15</v>
      </c>
      <c r="AD14" s="15">
        <v>5</v>
      </c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</row>
    <row r="15" spans="1:456" s="4" customFormat="1" ht="41.45" customHeight="1">
      <c r="A15" s="27">
        <v>4</v>
      </c>
      <c r="B15" s="30" t="s">
        <v>120</v>
      </c>
      <c r="C15" s="7" t="s">
        <v>22</v>
      </c>
      <c r="D15" s="7" t="s">
        <v>110</v>
      </c>
      <c r="E15" s="7" t="s">
        <v>110</v>
      </c>
      <c r="F15" s="7" t="s">
        <v>27</v>
      </c>
      <c r="G15" s="7" t="s">
        <v>28</v>
      </c>
      <c r="H15" s="8" t="s">
        <v>72</v>
      </c>
      <c r="I15" s="10" t="s">
        <v>23</v>
      </c>
      <c r="J15" s="11">
        <v>80</v>
      </c>
      <c r="K15" s="31">
        <f>32510.6999/1.12</f>
        <v>29027.410624999997</v>
      </c>
      <c r="L15" s="13">
        <f t="shared" ref="L15:L23" si="0">J15*K15</f>
        <v>2322192.8499999996</v>
      </c>
      <c r="M15" s="9"/>
      <c r="N15" s="9"/>
      <c r="O15" s="9"/>
      <c r="P15" s="9"/>
      <c r="Q15" s="9"/>
      <c r="R15" s="9"/>
      <c r="S15" s="9"/>
      <c r="T15" s="9"/>
      <c r="U15" s="12">
        <v>-2322192.85</v>
      </c>
      <c r="V15" s="12"/>
      <c r="W15" s="12"/>
      <c r="X15" s="9"/>
      <c r="Y15" s="9"/>
      <c r="Z15" s="9"/>
      <c r="AA15" s="9"/>
      <c r="AB15" s="61" t="s">
        <v>45</v>
      </c>
      <c r="AC15" s="14" t="s">
        <v>15</v>
      </c>
      <c r="AD15" s="15">
        <v>5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</row>
    <row r="16" spans="1:456" s="4" customFormat="1" ht="60" customHeight="1">
      <c r="A16" s="27">
        <v>5</v>
      </c>
      <c r="B16" s="30" t="s">
        <v>120</v>
      </c>
      <c r="C16" s="7" t="s">
        <v>22</v>
      </c>
      <c r="D16" s="7" t="s">
        <v>93</v>
      </c>
      <c r="E16" s="7" t="s">
        <v>93</v>
      </c>
      <c r="F16" s="7" t="s">
        <v>96</v>
      </c>
      <c r="G16" s="7" t="s">
        <v>93</v>
      </c>
      <c r="H16" s="8" t="s">
        <v>72</v>
      </c>
      <c r="I16" s="10" t="s">
        <v>23</v>
      </c>
      <c r="J16" s="11">
        <v>100</v>
      </c>
      <c r="K16" s="12">
        <f>27000/1.12</f>
        <v>24107.142857142855</v>
      </c>
      <c r="L16" s="13">
        <f t="shared" si="0"/>
        <v>2410714.2857142854</v>
      </c>
      <c r="M16" s="9"/>
      <c r="N16" s="9"/>
      <c r="O16" s="9"/>
      <c r="P16" s="9"/>
      <c r="Q16" s="9"/>
      <c r="R16" s="9"/>
      <c r="S16" s="9"/>
      <c r="T16" s="9"/>
      <c r="U16" s="12">
        <v>-76407.149999999994</v>
      </c>
      <c r="V16" s="9"/>
      <c r="W16" s="9"/>
      <c r="X16" s="12">
        <f>L16+U16</f>
        <v>2334307.1357142855</v>
      </c>
      <c r="Y16" s="12"/>
      <c r="Z16" s="9"/>
      <c r="AA16" s="9"/>
      <c r="AB16" s="57" t="s">
        <v>45</v>
      </c>
      <c r="AC16" s="14" t="s">
        <v>15</v>
      </c>
      <c r="AD16" s="15">
        <v>5</v>
      </c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</row>
    <row r="17" spans="1:456" s="4" customFormat="1" ht="63">
      <c r="A17" s="27">
        <v>6</v>
      </c>
      <c r="B17" s="30" t="s">
        <v>120</v>
      </c>
      <c r="C17" s="7" t="s">
        <v>22</v>
      </c>
      <c r="D17" s="7" t="s">
        <v>94</v>
      </c>
      <c r="E17" s="7" t="s">
        <v>94</v>
      </c>
      <c r="F17" s="7" t="s">
        <v>95</v>
      </c>
      <c r="G17" s="64" t="s">
        <v>94</v>
      </c>
      <c r="H17" s="8" t="s">
        <v>116</v>
      </c>
      <c r="I17" s="10" t="s">
        <v>23</v>
      </c>
      <c r="J17" s="11">
        <v>5</v>
      </c>
      <c r="K17" s="12">
        <f>1080/1.12</f>
        <v>964.28571428571422</v>
      </c>
      <c r="L17" s="13">
        <f t="shared" si="0"/>
        <v>4821.4285714285706</v>
      </c>
      <c r="M17" s="9"/>
      <c r="N17" s="9"/>
      <c r="O17" s="9"/>
      <c r="P17" s="9"/>
      <c r="Q17" s="58">
        <f>2035.71*5+0.02</f>
        <v>10178.57</v>
      </c>
      <c r="R17" s="13"/>
      <c r="S17" s="13"/>
      <c r="T17" s="13"/>
      <c r="U17" s="13"/>
      <c r="V17" s="13"/>
      <c r="W17" s="13"/>
      <c r="X17" s="12">
        <f>L17+Q17</f>
        <v>14999.99857142857</v>
      </c>
      <c r="Y17" s="12"/>
      <c r="Z17" s="12"/>
      <c r="AA17" s="12"/>
      <c r="AB17" s="57" t="s">
        <v>45</v>
      </c>
      <c r="AC17" s="14" t="s">
        <v>15</v>
      </c>
      <c r="AD17" s="15">
        <v>5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</row>
    <row r="18" spans="1:456" s="4" customFormat="1" ht="63">
      <c r="A18" s="27">
        <v>7</v>
      </c>
      <c r="B18" s="30" t="s">
        <v>120</v>
      </c>
      <c r="C18" s="7" t="s">
        <v>22</v>
      </c>
      <c r="D18" s="7" t="s">
        <v>98</v>
      </c>
      <c r="E18" s="7" t="s">
        <v>98</v>
      </c>
      <c r="F18" s="7" t="s">
        <v>97</v>
      </c>
      <c r="G18" s="64" t="s">
        <v>98</v>
      </c>
      <c r="H18" s="8" t="s">
        <v>116</v>
      </c>
      <c r="I18" s="10" t="s">
        <v>23</v>
      </c>
      <c r="J18" s="11">
        <v>1</v>
      </c>
      <c r="K18" s="12">
        <f>70200/1.12</f>
        <v>62678.57142857142</v>
      </c>
      <c r="L18" s="13">
        <f t="shared" si="0"/>
        <v>62678.57142857142</v>
      </c>
      <c r="M18" s="9"/>
      <c r="N18" s="9"/>
      <c r="O18" s="9"/>
      <c r="P18" s="58">
        <v>125428.57</v>
      </c>
      <c r="Q18" s="6"/>
      <c r="R18" s="60"/>
      <c r="S18" s="60"/>
      <c r="T18" s="60"/>
      <c r="U18" s="60"/>
      <c r="V18" s="60"/>
      <c r="W18" s="60"/>
      <c r="X18" s="12">
        <f>L18+P18</f>
        <v>188107.14142857143</v>
      </c>
      <c r="Y18" s="12"/>
      <c r="Z18" s="12"/>
      <c r="AA18" s="12"/>
      <c r="AB18" s="57" t="s">
        <v>45</v>
      </c>
      <c r="AC18" s="14" t="s">
        <v>15</v>
      </c>
      <c r="AD18" s="15">
        <v>5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</row>
    <row r="19" spans="1:456" s="3" customFormat="1" ht="78" customHeight="1">
      <c r="A19" s="27">
        <v>8</v>
      </c>
      <c r="B19" s="30" t="s">
        <v>120</v>
      </c>
      <c r="C19" s="7" t="s">
        <v>11</v>
      </c>
      <c r="D19" s="7" t="s">
        <v>29</v>
      </c>
      <c r="E19" s="7" t="s">
        <v>29</v>
      </c>
      <c r="F19" s="7" t="s">
        <v>30</v>
      </c>
      <c r="G19" s="7" t="s">
        <v>92</v>
      </c>
      <c r="H19" s="8" t="s">
        <v>72</v>
      </c>
      <c r="I19" s="10" t="s">
        <v>14</v>
      </c>
      <c r="J19" s="11">
        <v>1</v>
      </c>
      <c r="K19" s="12">
        <f>2000000/1.12</f>
        <v>1785714.2857142854</v>
      </c>
      <c r="L19" s="13">
        <f t="shared" si="0"/>
        <v>1785714.2857142854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2">
        <f>L19</f>
        <v>1785714.2857142854</v>
      </c>
      <c r="Y19" s="12"/>
      <c r="Z19" s="9"/>
      <c r="AA19" s="9"/>
      <c r="AB19" s="14" t="s">
        <v>53</v>
      </c>
      <c r="AC19" s="14" t="s">
        <v>15</v>
      </c>
      <c r="AD19" s="15">
        <v>5</v>
      </c>
    </row>
    <row r="20" spans="1:456" s="3" customFormat="1" ht="110.25">
      <c r="A20" s="27">
        <v>9</v>
      </c>
      <c r="B20" s="30" t="s">
        <v>120</v>
      </c>
      <c r="C20" s="7" t="s">
        <v>11</v>
      </c>
      <c r="D20" s="7" t="s">
        <v>88</v>
      </c>
      <c r="E20" s="7" t="s">
        <v>88</v>
      </c>
      <c r="F20" s="7" t="s">
        <v>102</v>
      </c>
      <c r="G20" s="7" t="s">
        <v>88</v>
      </c>
      <c r="H20" s="8" t="s">
        <v>72</v>
      </c>
      <c r="I20" s="10" t="s">
        <v>14</v>
      </c>
      <c r="J20" s="11">
        <v>1</v>
      </c>
      <c r="K20" s="12">
        <f>4860000/1.12</f>
        <v>4339285.7142857136</v>
      </c>
      <c r="L20" s="13">
        <f t="shared" si="0"/>
        <v>4339285.7142857136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2">
        <f>L20</f>
        <v>4339285.7142857136</v>
      </c>
      <c r="Y20" s="12"/>
      <c r="Z20" s="9"/>
      <c r="AA20" s="9"/>
      <c r="AB20" s="14" t="s">
        <v>48</v>
      </c>
      <c r="AC20" s="14" t="s">
        <v>15</v>
      </c>
      <c r="AD20" s="15">
        <v>5</v>
      </c>
    </row>
    <row r="21" spans="1:456" s="3" customFormat="1" ht="78" customHeight="1">
      <c r="A21" s="27">
        <v>10</v>
      </c>
      <c r="B21" s="30" t="s">
        <v>120</v>
      </c>
      <c r="C21" s="7" t="s">
        <v>11</v>
      </c>
      <c r="D21" s="7" t="s">
        <v>99</v>
      </c>
      <c r="E21" s="7" t="s">
        <v>99</v>
      </c>
      <c r="F21" s="7" t="s">
        <v>103</v>
      </c>
      <c r="G21" s="32" t="s">
        <v>121</v>
      </c>
      <c r="H21" s="8" t="s">
        <v>116</v>
      </c>
      <c r="I21" s="10" t="s">
        <v>14</v>
      </c>
      <c r="J21" s="11">
        <v>1</v>
      </c>
      <c r="K21" s="31">
        <v>475428.57</v>
      </c>
      <c r="L21" s="13">
        <f t="shared" si="0"/>
        <v>475428.57</v>
      </c>
      <c r="M21" s="9"/>
      <c r="N21" s="9"/>
      <c r="O21" s="9"/>
      <c r="P21" s="58">
        <v>-125428.57</v>
      </c>
      <c r="Q21" s="54"/>
      <c r="R21" s="63"/>
      <c r="S21" s="63"/>
      <c r="T21" s="63"/>
      <c r="U21" s="63"/>
      <c r="V21" s="63"/>
      <c r="W21" s="63"/>
      <c r="X21" s="58">
        <f>L21+P21</f>
        <v>350000</v>
      </c>
      <c r="Y21" s="58"/>
      <c r="Z21" s="58">
        <f>X21</f>
        <v>350000</v>
      </c>
      <c r="AA21" s="13">
        <f>X21-Z21</f>
        <v>0</v>
      </c>
      <c r="AB21" s="14" t="s">
        <v>53</v>
      </c>
      <c r="AC21" s="14" t="s">
        <v>15</v>
      </c>
      <c r="AD21" s="15">
        <v>5</v>
      </c>
    </row>
    <row r="22" spans="1:456" s="3" customFormat="1" ht="78" customHeight="1">
      <c r="A22" s="27">
        <v>11</v>
      </c>
      <c r="B22" s="9" t="s">
        <v>120</v>
      </c>
      <c r="C22" s="7" t="s">
        <v>11</v>
      </c>
      <c r="D22" s="7" t="s">
        <v>99</v>
      </c>
      <c r="E22" s="7" t="s">
        <v>99</v>
      </c>
      <c r="F22" s="7" t="s">
        <v>104</v>
      </c>
      <c r="G22" s="7" t="s">
        <v>100</v>
      </c>
      <c r="H22" s="8" t="s">
        <v>72</v>
      </c>
      <c r="I22" s="10" t="s">
        <v>14</v>
      </c>
      <c r="J22" s="11">
        <v>1</v>
      </c>
      <c r="K22" s="12">
        <f>2073600/1.12</f>
        <v>1851428.5714285714</v>
      </c>
      <c r="L22" s="13">
        <f t="shared" si="0"/>
        <v>1851428.5714285714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2">
        <f>L22</f>
        <v>1851428.5714285714</v>
      </c>
      <c r="Y22" s="12"/>
      <c r="Z22" s="13">
        <v>1440000</v>
      </c>
      <c r="AA22" s="12">
        <f>L22-Z22</f>
        <v>411428.57142857136</v>
      </c>
      <c r="AB22" s="14" t="s">
        <v>53</v>
      </c>
      <c r="AC22" s="14" t="s">
        <v>15</v>
      </c>
      <c r="AD22" s="15">
        <v>5</v>
      </c>
    </row>
    <row r="23" spans="1:456" s="3" customFormat="1" ht="78" customHeight="1">
      <c r="A23" s="27">
        <v>12</v>
      </c>
      <c r="B23" s="30" t="s">
        <v>120</v>
      </c>
      <c r="C23" s="7" t="s">
        <v>11</v>
      </c>
      <c r="D23" s="7" t="s">
        <v>101</v>
      </c>
      <c r="E23" s="7" t="s">
        <v>101</v>
      </c>
      <c r="F23" s="7" t="s">
        <v>105</v>
      </c>
      <c r="G23" s="7" t="s">
        <v>101</v>
      </c>
      <c r="H23" s="8" t="s">
        <v>72</v>
      </c>
      <c r="I23" s="10" t="s">
        <v>14</v>
      </c>
      <c r="J23" s="11">
        <v>1</v>
      </c>
      <c r="K23" s="12">
        <f>628992/1.12</f>
        <v>561600</v>
      </c>
      <c r="L23" s="13">
        <f t="shared" si="0"/>
        <v>561600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2">
        <f>L23</f>
        <v>561600</v>
      </c>
      <c r="Y23" s="12"/>
      <c r="Z23" s="9"/>
      <c r="AA23" s="9"/>
      <c r="AB23" s="57" t="s">
        <v>32</v>
      </c>
      <c r="AC23" s="14" t="s">
        <v>15</v>
      </c>
      <c r="AD23" s="15">
        <v>5</v>
      </c>
    </row>
    <row r="24" spans="1:456" s="2" customFormat="1" ht="47.25">
      <c r="A24" s="29">
        <v>61</v>
      </c>
      <c r="B24" s="46" t="s">
        <v>120</v>
      </c>
      <c r="C24" s="47" t="s">
        <v>22</v>
      </c>
      <c r="D24" s="48" t="s">
        <v>24</v>
      </c>
      <c r="E24" s="48" t="s">
        <v>24</v>
      </c>
      <c r="F24" s="47" t="s">
        <v>122</v>
      </c>
      <c r="G24" s="47" t="s">
        <v>123</v>
      </c>
      <c r="H24" s="49" t="s">
        <v>72</v>
      </c>
      <c r="I24" s="50" t="s">
        <v>87</v>
      </c>
      <c r="J24" s="51">
        <v>2000000</v>
      </c>
      <c r="K24" s="52">
        <v>8.254285715</v>
      </c>
      <c r="L24" s="52">
        <f>J24*K24</f>
        <v>16508571.43</v>
      </c>
      <c r="M24" s="55"/>
      <c r="N24" s="55"/>
      <c r="O24" s="55"/>
      <c r="P24" s="55"/>
      <c r="Q24" s="55"/>
      <c r="R24" s="55"/>
      <c r="S24" s="55"/>
      <c r="T24" s="55"/>
      <c r="U24" s="55"/>
      <c r="V24" s="12">
        <v>-16508571.43</v>
      </c>
      <c r="W24" s="71"/>
      <c r="X24" s="55"/>
      <c r="Y24" s="55"/>
      <c r="Z24" s="55"/>
      <c r="AA24" s="55"/>
      <c r="AB24" s="62" t="s">
        <v>45</v>
      </c>
      <c r="AC24" s="56" t="s">
        <v>15</v>
      </c>
      <c r="AD24" s="53">
        <v>5</v>
      </c>
    </row>
    <row r="25" spans="1:456" s="2" customFormat="1" ht="63">
      <c r="A25" s="9">
        <v>62</v>
      </c>
      <c r="B25" s="9" t="s">
        <v>120</v>
      </c>
      <c r="C25" s="17" t="s">
        <v>11</v>
      </c>
      <c r="D25" s="7" t="s">
        <v>33</v>
      </c>
      <c r="E25" s="7" t="s">
        <v>33</v>
      </c>
      <c r="F25" s="17" t="s">
        <v>124</v>
      </c>
      <c r="G25" s="17" t="s">
        <v>124</v>
      </c>
      <c r="H25" s="33" t="s">
        <v>125</v>
      </c>
      <c r="I25" s="18" t="s">
        <v>14</v>
      </c>
      <c r="J25" s="19">
        <v>1</v>
      </c>
      <c r="K25" s="20"/>
      <c r="L25" s="20"/>
      <c r="M25" s="16"/>
      <c r="N25" s="16"/>
      <c r="O25" s="16"/>
      <c r="P25" s="16"/>
      <c r="Q25" s="59">
        <v>66964.289999999994</v>
      </c>
      <c r="R25" s="20"/>
      <c r="S25" s="20"/>
      <c r="T25" s="20"/>
      <c r="U25" s="20"/>
      <c r="V25" s="20"/>
      <c r="W25" s="20"/>
      <c r="X25" s="20">
        <f>Q25</f>
        <v>66964.289999999994</v>
      </c>
      <c r="Y25" s="20"/>
      <c r="Z25" s="20"/>
      <c r="AA25" s="20"/>
      <c r="AB25" s="62" t="s">
        <v>31</v>
      </c>
      <c r="AC25" s="21" t="s">
        <v>15</v>
      </c>
      <c r="AD25" s="34">
        <v>5</v>
      </c>
    </row>
    <row r="26" spans="1:456" s="2" customFormat="1" ht="63">
      <c r="A26" s="27">
        <v>65</v>
      </c>
      <c r="B26" s="9" t="s">
        <v>120</v>
      </c>
      <c r="C26" s="17" t="s">
        <v>11</v>
      </c>
      <c r="D26" s="7" t="s">
        <v>33</v>
      </c>
      <c r="E26" s="7" t="s">
        <v>33</v>
      </c>
      <c r="F26" s="7" t="s">
        <v>135</v>
      </c>
      <c r="G26" s="7" t="s">
        <v>136</v>
      </c>
      <c r="H26" s="33" t="s">
        <v>72</v>
      </c>
      <c r="I26" s="18" t="s">
        <v>14</v>
      </c>
      <c r="J26" s="19">
        <v>1</v>
      </c>
      <c r="K26" s="20"/>
      <c r="L26" s="20"/>
      <c r="M26" s="16"/>
      <c r="N26" s="16"/>
      <c r="O26" s="16"/>
      <c r="P26" s="16"/>
      <c r="Q26" s="59"/>
      <c r="R26" s="20"/>
      <c r="S26" s="20"/>
      <c r="T26" s="20"/>
      <c r="U26" s="20">
        <v>1250000</v>
      </c>
      <c r="V26" s="20"/>
      <c r="W26" s="20"/>
      <c r="X26" s="20">
        <f>U26</f>
        <v>1250000</v>
      </c>
      <c r="Y26" s="20"/>
      <c r="Z26" s="20"/>
      <c r="AA26" s="20"/>
      <c r="AB26" s="62" t="s">
        <v>45</v>
      </c>
      <c r="AC26" s="21" t="s">
        <v>133</v>
      </c>
      <c r="AD26" s="34">
        <v>5</v>
      </c>
    </row>
    <row r="27" spans="1:456" s="2" customFormat="1" ht="47.25">
      <c r="A27" s="27">
        <v>66</v>
      </c>
      <c r="B27" s="9" t="s">
        <v>120</v>
      </c>
      <c r="C27" s="17" t="s">
        <v>22</v>
      </c>
      <c r="D27" s="7" t="s">
        <v>24</v>
      </c>
      <c r="E27" s="7" t="s">
        <v>24</v>
      </c>
      <c r="F27" s="7" t="s">
        <v>137</v>
      </c>
      <c r="G27" s="7" t="s">
        <v>138</v>
      </c>
      <c r="H27" s="33" t="s">
        <v>72</v>
      </c>
      <c r="I27" s="18" t="s">
        <v>23</v>
      </c>
      <c r="J27" s="19">
        <v>80</v>
      </c>
      <c r="K27" s="20">
        <v>11595</v>
      </c>
      <c r="L27" s="20"/>
      <c r="M27" s="16"/>
      <c r="N27" s="16"/>
      <c r="O27" s="16"/>
      <c r="P27" s="16"/>
      <c r="Q27" s="59"/>
      <c r="R27" s="20"/>
      <c r="S27" s="20"/>
      <c r="T27" s="20"/>
      <c r="U27" s="20">
        <f>J27*K27</f>
        <v>927600</v>
      </c>
      <c r="V27" s="20"/>
      <c r="W27" s="20"/>
      <c r="X27" s="20">
        <f>U27</f>
        <v>927600</v>
      </c>
      <c r="Y27" s="20"/>
      <c r="Z27" s="20"/>
      <c r="AA27" s="20"/>
      <c r="AB27" s="62" t="s">
        <v>32</v>
      </c>
      <c r="AC27" s="21" t="s">
        <v>134</v>
      </c>
      <c r="AD27" s="34">
        <v>0</v>
      </c>
    </row>
    <row r="28" spans="1:456" s="2" customFormat="1" ht="110.25">
      <c r="A28" s="27">
        <v>67</v>
      </c>
      <c r="B28" s="9" t="s">
        <v>120</v>
      </c>
      <c r="C28" s="17" t="s">
        <v>11</v>
      </c>
      <c r="D28" s="7" t="s">
        <v>140</v>
      </c>
      <c r="E28" s="7" t="s">
        <v>140</v>
      </c>
      <c r="F28" s="7" t="s">
        <v>142</v>
      </c>
      <c r="G28" s="7" t="s">
        <v>141</v>
      </c>
      <c r="H28" s="33" t="s">
        <v>116</v>
      </c>
      <c r="I28" s="18" t="s">
        <v>14</v>
      </c>
      <c r="J28" s="19">
        <v>1</v>
      </c>
      <c r="K28" s="20"/>
      <c r="L28" s="20"/>
      <c r="M28" s="16"/>
      <c r="N28" s="16"/>
      <c r="O28" s="16"/>
      <c r="P28" s="16"/>
      <c r="Q28" s="59"/>
      <c r="R28" s="20"/>
      <c r="S28" s="20"/>
      <c r="T28" s="20"/>
      <c r="U28" s="20">
        <v>221000</v>
      </c>
      <c r="V28" s="20"/>
      <c r="W28" s="20"/>
      <c r="X28" s="20">
        <f>U28</f>
        <v>221000</v>
      </c>
      <c r="Y28" s="20"/>
      <c r="Z28" s="20"/>
      <c r="AA28" s="20"/>
      <c r="AB28" s="62" t="s">
        <v>32</v>
      </c>
      <c r="AC28" s="21" t="s">
        <v>139</v>
      </c>
      <c r="AD28" s="34">
        <v>0</v>
      </c>
    </row>
    <row r="29" spans="1:456" s="2" customFormat="1" ht="63">
      <c r="A29" s="27">
        <v>68</v>
      </c>
      <c r="B29" s="9" t="s">
        <v>120</v>
      </c>
      <c r="C29" s="17" t="s">
        <v>22</v>
      </c>
      <c r="D29" s="7" t="s">
        <v>143</v>
      </c>
      <c r="E29" s="7" t="s">
        <v>143</v>
      </c>
      <c r="F29" s="7" t="s">
        <v>144</v>
      </c>
      <c r="G29" s="7" t="s">
        <v>143</v>
      </c>
      <c r="H29" s="33" t="s">
        <v>116</v>
      </c>
      <c r="I29" s="18" t="s">
        <v>23</v>
      </c>
      <c r="J29" s="19">
        <v>100</v>
      </c>
      <c r="K29" s="20">
        <v>318.16964285714283</v>
      </c>
      <c r="L29" s="20"/>
      <c r="M29" s="16"/>
      <c r="N29" s="16"/>
      <c r="O29" s="16"/>
      <c r="P29" s="16"/>
      <c r="Q29" s="59"/>
      <c r="R29" s="20"/>
      <c r="S29" s="20"/>
      <c r="T29" s="20"/>
      <c r="U29" s="20"/>
      <c r="V29" s="20"/>
      <c r="W29" s="20">
        <f t="shared" ref="W29:W34" si="1">J29*K29</f>
        <v>31816.964285714283</v>
      </c>
      <c r="X29" s="20">
        <f t="shared" ref="X29:X34" si="2">W29</f>
        <v>31816.964285714283</v>
      </c>
      <c r="Y29" s="20"/>
      <c r="Z29" s="20"/>
      <c r="AA29" s="20"/>
      <c r="AB29" s="62" t="s">
        <v>32</v>
      </c>
      <c r="AC29" s="21" t="s">
        <v>139</v>
      </c>
      <c r="AD29" s="34">
        <v>0</v>
      </c>
    </row>
    <row r="30" spans="1:456" s="2" customFormat="1" ht="63">
      <c r="A30" s="9">
        <v>69</v>
      </c>
      <c r="B30" s="9" t="s">
        <v>120</v>
      </c>
      <c r="C30" s="17" t="s">
        <v>22</v>
      </c>
      <c r="D30" s="7" t="s">
        <v>145</v>
      </c>
      <c r="E30" s="7" t="s">
        <v>145</v>
      </c>
      <c r="F30" s="7" t="s">
        <v>146</v>
      </c>
      <c r="G30" s="7" t="s">
        <v>145</v>
      </c>
      <c r="H30" s="33" t="s">
        <v>116</v>
      </c>
      <c r="I30" s="18" t="s">
        <v>23</v>
      </c>
      <c r="J30" s="19">
        <v>100</v>
      </c>
      <c r="K30" s="20">
        <v>1216.2678571428571</v>
      </c>
      <c r="L30" s="20"/>
      <c r="M30" s="16"/>
      <c r="N30" s="16"/>
      <c r="O30" s="16"/>
      <c r="P30" s="16"/>
      <c r="Q30" s="59"/>
      <c r="R30" s="20"/>
      <c r="S30" s="20"/>
      <c r="T30" s="20"/>
      <c r="U30" s="20"/>
      <c r="V30" s="20"/>
      <c r="W30" s="20">
        <f t="shared" si="1"/>
        <v>121626.78571428571</v>
      </c>
      <c r="X30" s="20">
        <f t="shared" si="2"/>
        <v>121626.78571428571</v>
      </c>
      <c r="Y30" s="20"/>
      <c r="Z30" s="20"/>
      <c r="AA30" s="20"/>
      <c r="AB30" s="62" t="s">
        <v>32</v>
      </c>
      <c r="AC30" s="21" t="s">
        <v>139</v>
      </c>
      <c r="AD30" s="34">
        <v>0</v>
      </c>
    </row>
    <row r="31" spans="1:456" s="2" customFormat="1" ht="63">
      <c r="A31" s="9">
        <v>71</v>
      </c>
      <c r="B31" s="17" t="s">
        <v>120</v>
      </c>
      <c r="C31" s="7" t="s">
        <v>22</v>
      </c>
      <c r="D31" s="7" t="s">
        <v>147</v>
      </c>
      <c r="E31" s="7" t="s">
        <v>147</v>
      </c>
      <c r="F31" s="7" t="s">
        <v>148</v>
      </c>
      <c r="G31" s="33" t="s">
        <v>147</v>
      </c>
      <c r="H31" s="18" t="s">
        <v>116</v>
      </c>
      <c r="I31" s="19" t="s">
        <v>23</v>
      </c>
      <c r="J31" s="20">
        <v>1</v>
      </c>
      <c r="K31" s="12">
        <f>49535/1.12</f>
        <v>44227.678571428565</v>
      </c>
      <c r="L31" s="20"/>
      <c r="M31" s="16"/>
      <c r="N31" s="16"/>
      <c r="O31" s="16"/>
      <c r="P31" s="16"/>
      <c r="Q31" s="59"/>
      <c r="R31" s="20"/>
      <c r="S31" s="20"/>
      <c r="T31" s="20"/>
      <c r="U31" s="20"/>
      <c r="V31" s="20"/>
      <c r="W31" s="20">
        <f t="shared" si="1"/>
        <v>44227.678571428565</v>
      </c>
      <c r="X31" s="20">
        <f t="shared" si="2"/>
        <v>44227.678571428565</v>
      </c>
      <c r="Y31" s="20"/>
      <c r="Z31" s="20"/>
      <c r="AA31" s="20"/>
      <c r="AB31" s="62" t="s">
        <v>32</v>
      </c>
      <c r="AC31" s="21" t="s">
        <v>139</v>
      </c>
      <c r="AD31" s="34">
        <v>0</v>
      </c>
    </row>
    <row r="32" spans="1:456" s="2" customFormat="1" ht="63">
      <c r="A32" s="9">
        <v>72</v>
      </c>
      <c r="B32" s="17" t="s">
        <v>120</v>
      </c>
      <c r="C32" s="7" t="s">
        <v>22</v>
      </c>
      <c r="D32" s="7" t="s">
        <v>149</v>
      </c>
      <c r="E32" s="7" t="s">
        <v>149</v>
      </c>
      <c r="F32" s="7" t="s">
        <v>150</v>
      </c>
      <c r="G32" s="33" t="s">
        <v>151</v>
      </c>
      <c r="H32" s="18" t="s">
        <v>116</v>
      </c>
      <c r="I32" s="19" t="s">
        <v>23</v>
      </c>
      <c r="J32" s="20">
        <v>50</v>
      </c>
      <c r="K32" s="12">
        <f>2638.7/1.12</f>
        <v>2355.9821428571427</v>
      </c>
      <c r="L32" s="20"/>
      <c r="M32" s="16"/>
      <c r="N32" s="16"/>
      <c r="O32" s="16"/>
      <c r="P32" s="16"/>
      <c r="Q32" s="59"/>
      <c r="R32" s="20"/>
      <c r="S32" s="20"/>
      <c r="T32" s="20"/>
      <c r="U32" s="20"/>
      <c r="V32" s="20"/>
      <c r="W32" s="20">
        <f t="shared" si="1"/>
        <v>117799.10714285713</v>
      </c>
      <c r="X32" s="20">
        <f t="shared" si="2"/>
        <v>117799.10714285713</v>
      </c>
      <c r="Y32" s="20"/>
      <c r="Z32" s="20"/>
      <c r="AA32" s="20"/>
      <c r="AB32" s="62" t="s">
        <v>32</v>
      </c>
      <c r="AC32" s="21" t="s">
        <v>139</v>
      </c>
      <c r="AD32" s="34">
        <v>0</v>
      </c>
    </row>
    <row r="33" spans="1:30" s="2" customFormat="1" ht="63">
      <c r="A33" s="9">
        <v>73</v>
      </c>
      <c r="B33" s="17" t="s">
        <v>120</v>
      </c>
      <c r="C33" s="7" t="s">
        <v>22</v>
      </c>
      <c r="D33" s="7" t="s">
        <v>152</v>
      </c>
      <c r="E33" s="7" t="s">
        <v>152</v>
      </c>
      <c r="F33" s="7" t="s">
        <v>153</v>
      </c>
      <c r="G33" s="33" t="s">
        <v>154</v>
      </c>
      <c r="H33" s="18" t="s">
        <v>116</v>
      </c>
      <c r="I33" s="19" t="s">
        <v>23</v>
      </c>
      <c r="J33" s="20">
        <v>2</v>
      </c>
      <c r="K33" s="12">
        <f>53346/1.12</f>
        <v>47630.357142857138</v>
      </c>
      <c r="L33" s="20"/>
      <c r="M33" s="16"/>
      <c r="N33" s="16"/>
      <c r="O33" s="16"/>
      <c r="P33" s="16"/>
      <c r="Q33" s="59"/>
      <c r="R33" s="20"/>
      <c r="S33" s="20"/>
      <c r="T33" s="20"/>
      <c r="U33" s="20"/>
      <c r="V33" s="20"/>
      <c r="W33" s="20">
        <f t="shared" si="1"/>
        <v>95260.714285714275</v>
      </c>
      <c r="X33" s="20">
        <f t="shared" si="2"/>
        <v>95260.714285714275</v>
      </c>
      <c r="Y33" s="20"/>
      <c r="Z33" s="20"/>
      <c r="AA33" s="20"/>
      <c r="AB33" s="62" t="s">
        <v>32</v>
      </c>
      <c r="AC33" s="21" t="s">
        <v>139</v>
      </c>
      <c r="AD33" s="34">
        <v>0</v>
      </c>
    </row>
    <row r="34" spans="1:30" s="2" customFormat="1" ht="63">
      <c r="A34" s="9">
        <v>74</v>
      </c>
      <c r="B34" s="17" t="s">
        <v>120</v>
      </c>
      <c r="C34" s="7" t="s">
        <v>22</v>
      </c>
      <c r="D34" s="7" t="s">
        <v>155</v>
      </c>
      <c r="E34" s="7" t="s">
        <v>155</v>
      </c>
      <c r="F34" s="7" t="s">
        <v>156</v>
      </c>
      <c r="G34" s="33" t="s">
        <v>157</v>
      </c>
      <c r="H34" s="18" t="s">
        <v>116</v>
      </c>
      <c r="I34" s="19" t="s">
        <v>23</v>
      </c>
      <c r="J34" s="20">
        <v>2</v>
      </c>
      <c r="K34" s="12">
        <f>14300/1.12</f>
        <v>12767.857142857141</v>
      </c>
      <c r="L34" s="20"/>
      <c r="M34" s="16"/>
      <c r="N34" s="16"/>
      <c r="O34" s="16"/>
      <c r="P34" s="16"/>
      <c r="Q34" s="59"/>
      <c r="R34" s="20"/>
      <c r="S34" s="20"/>
      <c r="T34" s="20"/>
      <c r="U34" s="20"/>
      <c r="V34" s="20"/>
      <c r="W34" s="20">
        <f t="shared" si="1"/>
        <v>25535.714285714283</v>
      </c>
      <c r="X34" s="20">
        <f t="shared" si="2"/>
        <v>25535.714285714283</v>
      </c>
      <c r="Y34" s="20"/>
      <c r="Z34" s="20"/>
      <c r="AA34" s="20"/>
      <c r="AB34" s="62" t="s">
        <v>32</v>
      </c>
      <c r="AC34" s="21" t="s">
        <v>139</v>
      </c>
      <c r="AD34" s="34">
        <v>0</v>
      </c>
    </row>
    <row r="35" spans="1:30" ht="49.15" customHeight="1">
      <c r="E35" s="120"/>
      <c r="F35" s="120"/>
      <c r="X35" s="72">
        <f>SUM(X14:X34)</f>
        <v>34643663.241428569</v>
      </c>
      <c r="Y35" s="72"/>
    </row>
    <row r="36" spans="1:30" ht="18.75">
      <c r="D36" s="141" t="s">
        <v>56</v>
      </c>
      <c r="E36" s="142"/>
      <c r="F36" s="5"/>
      <c r="G36" s="66" t="s">
        <v>74</v>
      </c>
      <c r="I36" s="143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</row>
    <row r="38" spans="1:30" ht="18.75">
      <c r="D38" s="136" t="s">
        <v>57</v>
      </c>
      <c r="E38" s="136"/>
      <c r="F38" s="136"/>
      <c r="G38" s="66" t="s">
        <v>75</v>
      </c>
      <c r="K38" s="66" t="s">
        <v>83</v>
      </c>
    </row>
    <row r="39" spans="1:30" ht="18.75">
      <c r="D39" s="65"/>
      <c r="E39" s="65"/>
      <c r="F39" s="65"/>
      <c r="G39" s="66"/>
      <c r="L39" s="22" t="s">
        <v>80</v>
      </c>
    </row>
    <row r="41" spans="1:30" ht="18.75">
      <c r="D41" s="136" t="s">
        <v>76</v>
      </c>
      <c r="E41" s="136"/>
      <c r="F41" s="136"/>
      <c r="G41" s="66" t="s">
        <v>77</v>
      </c>
    </row>
    <row r="42" spans="1:30" ht="18.75">
      <c r="D42" s="65"/>
      <c r="E42" s="65"/>
      <c r="F42" s="65"/>
      <c r="L42" s="22" t="s">
        <v>81</v>
      </c>
    </row>
    <row r="43" spans="1:30" ht="18.75">
      <c r="D43" s="136" t="s">
        <v>113</v>
      </c>
      <c r="E43" s="136"/>
      <c r="G43" s="66" t="s">
        <v>89</v>
      </c>
    </row>
    <row r="44" spans="1:30" ht="18.75">
      <c r="I44" s="22"/>
      <c r="J44" s="22"/>
      <c r="L44" s="22" t="s">
        <v>114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ht="18.75"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</row>
    <row r="46" spans="1:30" ht="18.75">
      <c r="D46" s="136" t="s">
        <v>59</v>
      </c>
      <c r="E46" s="136"/>
      <c r="G46" s="66" t="s">
        <v>78</v>
      </c>
      <c r="I46" s="22"/>
      <c r="J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</row>
    <row r="47" spans="1:30" ht="18.75">
      <c r="I47" s="22"/>
      <c r="J47" s="22"/>
      <c r="K47" s="22"/>
      <c r="L47" s="22" t="s">
        <v>64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</row>
    <row r="48" spans="1:30" ht="18.75">
      <c r="I48" s="22"/>
      <c r="J48" s="22"/>
      <c r="K48" s="22" t="s">
        <v>64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4:30" ht="18.75">
      <c r="D49" s="136" t="s">
        <v>60</v>
      </c>
      <c r="E49" s="136"/>
      <c r="F49" s="136"/>
      <c r="G49" s="66" t="s">
        <v>79</v>
      </c>
      <c r="I49" s="22" t="s">
        <v>62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</row>
    <row r="50" spans="4:30" ht="18.75"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5" spans="4:30" ht="15.75">
      <c r="I55" s="136" t="s">
        <v>58</v>
      </c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</row>
    <row r="56" spans="4:30" ht="18.75">
      <c r="I56" s="22"/>
      <c r="J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4:30" ht="18.75">
      <c r="I57" s="22"/>
      <c r="J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</row>
    <row r="58" spans="4:30" ht="18.75">
      <c r="I58" s="22"/>
      <c r="J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</row>
    <row r="59" spans="4:30" ht="18.75">
      <c r="I59" s="22" t="s">
        <v>61</v>
      </c>
      <c r="J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</row>
  </sheetData>
  <mergeCells count="39">
    <mergeCell ref="D38:F38"/>
    <mergeCell ref="D41:F41"/>
    <mergeCell ref="D43:E43"/>
    <mergeCell ref="D46:E46"/>
    <mergeCell ref="D49:F49"/>
    <mergeCell ref="I55:AD55"/>
    <mergeCell ref="AC10:AC11"/>
    <mergeCell ref="AD10:AD11"/>
    <mergeCell ref="E35:F35"/>
    <mergeCell ref="D36:E36"/>
    <mergeCell ref="I36:AD36"/>
    <mergeCell ref="V10:V11"/>
    <mergeCell ref="W10:W11"/>
    <mergeCell ref="X10:X11"/>
    <mergeCell ref="Z10:Z11"/>
    <mergeCell ref="AA10:AA11"/>
    <mergeCell ref="AB10:AB11"/>
    <mergeCell ref="P10:P11"/>
    <mergeCell ref="Q10:Q11"/>
    <mergeCell ref="R10:R11"/>
    <mergeCell ref="S10:S11"/>
    <mergeCell ref="T10:T11"/>
    <mergeCell ref="U10:U11"/>
    <mergeCell ref="J10:J11"/>
    <mergeCell ref="K10:K11"/>
    <mergeCell ref="L10:L11"/>
    <mergeCell ref="M10:M11"/>
    <mergeCell ref="N10:N11"/>
    <mergeCell ref="O10:O11"/>
    <mergeCell ref="A6:K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dataValidations xWindow="1243" yWindow="545" count="5">
    <dataValidation type="list" allowBlank="1" showInputMessage="1" showErrorMessage="1" sqref="AB14 AB24:AB34">
      <formula1>Месяц</formula1>
    </dataValidation>
    <dataValidation type="decimal" operator="greaterThan" allowBlank="1" showInputMessage="1" showErrorMessage="1" prompt="Введите прогнозируемую сумму на третий год" sqref="V25:W25 X24:AA25 M24:U25 M26:AA34">
      <formula1>0</formula1>
    </dataValidation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AD24:AD34">
      <formula1>0</formula1>
      <formula2>100</formula2>
    </dataValidation>
    <dataValidation allowBlank="1" showInputMessage="1" showErrorMessage="1" prompt="Единица измерения заполняется автоматически в соответствии с КТРУ" sqref="I24:I34"/>
    <dataValidation type="list" allowBlank="1" showInputMessage="1" showErrorMessage="1" sqref="AC24:AC34">
      <formula1>КАТО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X155"/>
  <sheetViews>
    <sheetView tabSelected="1" zoomScale="67" zoomScaleNormal="67" workbookViewId="0">
      <selection activeCell="C46" sqref="C46"/>
    </sheetView>
  </sheetViews>
  <sheetFormatPr defaultColWidth="8.85546875" defaultRowHeight="15"/>
  <cols>
    <col min="1" max="1" width="6" style="75" customWidth="1"/>
    <col min="2" max="2" width="14" style="75" customWidth="1"/>
    <col min="3" max="3" width="13.28515625" style="75" customWidth="1"/>
    <col min="4" max="4" width="35.28515625" style="75" customWidth="1"/>
    <col min="5" max="5" width="33" style="75" customWidth="1"/>
    <col min="6" max="6" width="24.42578125" style="75" customWidth="1"/>
    <col min="7" max="7" width="16.28515625" style="75" customWidth="1"/>
    <col min="8" max="8" width="13.28515625" style="75" customWidth="1"/>
    <col min="9" max="9" width="18.42578125" style="75" customWidth="1"/>
    <col min="10" max="10" width="15.42578125" style="75" customWidth="1"/>
    <col min="11" max="11" width="16.85546875" style="75" customWidth="1"/>
    <col min="12" max="12" width="18.28515625" style="75" customWidth="1"/>
    <col min="13" max="13" width="19.85546875" style="75" customWidth="1"/>
    <col min="14" max="14" width="14.140625" style="75" customWidth="1"/>
    <col min="15" max="15" width="17.85546875" style="75" customWidth="1"/>
    <col min="16" max="16" width="12.140625" style="75" customWidth="1"/>
    <col min="17" max="17" width="10.5703125" style="75" customWidth="1"/>
    <col min="18" max="19" width="8.85546875" style="75"/>
    <col min="20" max="21" width="9.7109375" style="75" bestFit="1" customWidth="1"/>
    <col min="22" max="16384" width="8.85546875" style="75"/>
  </cols>
  <sheetData>
    <row r="1" spans="1:440" ht="15.75">
      <c r="L1" s="26" t="s">
        <v>82</v>
      </c>
      <c r="M1" s="26"/>
    </row>
    <row r="2" spans="1:440" ht="23.45" customHeight="1">
      <c r="A2" s="119" t="s">
        <v>218</v>
      </c>
      <c r="B2" s="119"/>
      <c r="C2" s="119"/>
      <c r="D2" s="120"/>
      <c r="E2" s="120"/>
      <c r="F2" s="120"/>
      <c r="G2" s="120"/>
      <c r="H2" s="120"/>
      <c r="I2" s="120"/>
      <c r="L2" s="26" t="s">
        <v>199</v>
      </c>
      <c r="M2" s="26"/>
    </row>
    <row r="3" spans="1:440" ht="24" customHeight="1" thickBot="1"/>
    <row r="4" spans="1:440" ht="39.6" customHeight="1" thickBot="1">
      <c r="C4" s="23" t="s">
        <v>63</v>
      </c>
      <c r="D4" s="23" t="s">
        <v>73</v>
      </c>
      <c r="E4" s="25" t="s">
        <v>0</v>
      </c>
      <c r="F4" s="23" t="s">
        <v>372</v>
      </c>
    </row>
    <row r="5" spans="1:440" ht="27.6" customHeight="1" thickBot="1"/>
    <row r="6" spans="1:440" s="1" customFormat="1" ht="12" customHeight="1">
      <c r="A6" s="145" t="s">
        <v>1</v>
      </c>
      <c r="B6" s="147" t="s">
        <v>118</v>
      </c>
      <c r="C6" s="145" t="s">
        <v>2</v>
      </c>
      <c r="D6" s="145" t="s">
        <v>65</v>
      </c>
      <c r="E6" s="147" t="s">
        <v>66</v>
      </c>
      <c r="F6" s="145" t="s">
        <v>3</v>
      </c>
      <c r="G6" s="151" t="s">
        <v>69</v>
      </c>
      <c r="H6" s="153" t="s">
        <v>4</v>
      </c>
      <c r="I6" s="155" t="s">
        <v>369</v>
      </c>
      <c r="J6" s="158" t="s">
        <v>370</v>
      </c>
      <c r="K6" s="160" t="s">
        <v>371</v>
      </c>
      <c r="L6" s="162" t="s">
        <v>200</v>
      </c>
      <c r="M6" s="160" t="s">
        <v>9</v>
      </c>
      <c r="N6" s="164" t="s">
        <v>10</v>
      </c>
    </row>
    <row r="7" spans="1:440" s="1" customFormat="1" ht="110.45" customHeight="1" thickBot="1">
      <c r="A7" s="146"/>
      <c r="B7" s="148"/>
      <c r="C7" s="149"/>
      <c r="D7" s="149"/>
      <c r="E7" s="150"/>
      <c r="F7" s="146"/>
      <c r="G7" s="152"/>
      <c r="H7" s="154"/>
      <c r="I7" s="156"/>
      <c r="J7" s="159"/>
      <c r="K7" s="161"/>
      <c r="L7" s="163"/>
      <c r="M7" s="161"/>
      <c r="N7" s="165"/>
    </row>
    <row r="8" spans="1:440" s="1" customFormat="1" ht="23.45" customHeight="1" thickBot="1">
      <c r="A8" s="106">
        <v>0</v>
      </c>
      <c r="B8" s="107">
        <v>1</v>
      </c>
      <c r="C8" s="108">
        <v>2</v>
      </c>
      <c r="D8" s="107">
        <v>3</v>
      </c>
      <c r="E8" s="108">
        <v>4</v>
      </c>
      <c r="F8" s="107">
        <v>5</v>
      </c>
      <c r="G8" s="108">
        <v>6</v>
      </c>
      <c r="H8" s="107">
        <v>7</v>
      </c>
      <c r="I8" s="108">
        <v>8</v>
      </c>
      <c r="J8" s="110" t="s">
        <v>374</v>
      </c>
      <c r="K8" s="107">
        <v>10</v>
      </c>
      <c r="L8" s="108">
        <v>11</v>
      </c>
      <c r="M8" s="107">
        <v>12</v>
      </c>
      <c r="N8" s="109" t="s">
        <v>373</v>
      </c>
    </row>
    <row r="9" spans="1:440" s="1" customFormat="1" ht="45.6" customHeight="1">
      <c r="A9" s="98">
        <v>1</v>
      </c>
      <c r="B9" s="99" t="s">
        <v>120</v>
      </c>
      <c r="C9" s="87" t="s">
        <v>11</v>
      </c>
      <c r="D9" s="100" t="s">
        <v>16</v>
      </c>
      <c r="E9" s="100" t="s">
        <v>17</v>
      </c>
      <c r="F9" s="101" t="s">
        <v>72</v>
      </c>
      <c r="G9" s="102" t="s">
        <v>14</v>
      </c>
      <c r="H9" s="103">
        <v>1</v>
      </c>
      <c r="I9" s="104">
        <f>44*125500</f>
        <v>5522000</v>
      </c>
      <c r="J9" s="105">
        <f>H9*I9</f>
        <v>5522000</v>
      </c>
      <c r="K9" s="28" t="s">
        <v>206</v>
      </c>
      <c r="L9" s="87" t="s">
        <v>201</v>
      </c>
      <c r="M9" s="28" t="s">
        <v>15</v>
      </c>
      <c r="N9" s="115">
        <v>0</v>
      </c>
    </row>
    <row r="10" spans="1:440" s="1" customFormat="1" ht="40.15" customHeight="1">
      <c r="A10" s="27">
        <v>2</v>
      </c>
      <c r="B10" s="9" t="s">
        <v>120</v>
      </c>
      <c r="C10" s="7" t="s">
        <v>11</v>
      </c>
      <c r="D10" s="85" t="s">
        <v>166</v>
      </c>
      <c r="E10" s="85" t="s">
        <v>165</v>
      </c>
      <c r="F10" s="8" t="s">
        <v>72</v>
      </c>
      <c r="G10" s="10" t="s">
        <v>14</v>
      </c>
      <c r="H10" s="11">
        <v>1</v>
      </c>
      <c r="I10" s="12">
        <f>44*92000</f>
        <v>4048000</v>
      </c>
      <c r="J10" s="13">
        <f>H10*I10</f>
        <v>4048000</v>
      </c>
      <c r="K10" s="28" t="s">
        <v>206</v>
      </c>
      <c r="L10" s="7" t="s">
        <v>201</v>
      </c>
      <c r="M10" s="14" t="s">
        <v>15</v>
      </c>
      <c r="N10" s="15">
        <v>0</v>
      </c>
    </row>
    <row r="11" spans="1:440" s="1" customFormat="1" ht="63">
      <c r="A11" s="27">
        <v>3</v>
      </c>
      <c r="B11" s="9" t="s">
        <v>120</v>
      </c>
      <c r="C11" s="7" t="s">
        <v>11</v>
      </c>
      <c r="D11" s="85" t="s">
        <v>12</v>
      </c>
      <c r="E11" s="85" t="s">
        <v>13</v>
      </c>
      <c r="F11" s="8" t="s">
        <v>116</v>
      </c>
      <c r="G11" s="10" t="s">
        <v>14</v>
      </c>
      <c r="H11" s="11">
        <v>1</v>
      </c>
      <c r="I11" s="12">
        <v>156986.60399999999</v>
      </c>
      <c r="J11" s="13">
        <f>H11*I11</f>
        <v>156986.60399999999</v>
      </c>
      <c r="K11" s="7" t="s">
        <v>207</v>
      </c>
      <c r="L11" s="7" t="s">
        <v>202</v>
      </c>
      <c r="M11" s="14" t="s">
        <v>15</v>
      </c>
      <c r="N11" s="15">
        <v>0</v>
      </c>
    </row>
    <row r="12" spans="1:440" s="1" customFormat="1" ht="63">
      <c r="A12" s="27">
        <v>4</v>
      </c>
      <c r="B12" s="9" t="s">
        <v>120</v>
      </c>
      <c r="C12" s="7" t="s">
        <v>11</v>
      </c>
      <c r="D12" s="85" t="s">
        <v>167</v>
      </c>
      <c r="E12" s="85" t="s">
        <v>18</v>
      </c>
      <c r="F12" s="8" t="s">
        <v>159</v>
      </c>
      <c r="G12" s="10" t="s">
        <v>14</v>
      </c>
      <c r="H12" s="11">
        <v>1</v>
      </c>
      <c r="I12" s="12">
        <f>619438.5792</f>
        <v>619438.57920000004</v>
      </c>
      <c r="J12" s="13">
        <f>H12*I12</f>
        <v>619438.57920000004</v>
      </c>
      <c r="K12" s="28" t="s">
        <v>206</v>
      </c>
      <c r="L12" s="7" t="s">
        <v>201</v>
      </c>
      <c r="M12" s="14" t="s">
        <v>15</v>
      </c>
      <c r="N12" s="15">
        <v>0</v>
      </c>
    </row>
    <row r="13" spans="1:440" s="4" customFormat="1" ht="63">
      <c r="A13" s="27">
        <v>5</v>
      </c>
      <c r="B13" s="9" t="s">
        <v>120</v>
      </c>
      <c r="C13" s="7" t="s">
        <v>22</v>
      </c>
      <c r="D13" s="85" t="s">
        <v>210</v>
      </c>
      <c r="E13" s="85" t="s">
        <v>28</v>
      </c>
      <c r="F13" s="8" t="s">
        <v>159</v>
      </c>
      <c r="G13" s="10" t="s">
        <v>23</v>
      </c>
      <c r="H13" s="11">
        <v>15</v>
      </c>
      <c r="I13" s="12">
        <f>140094.9333/1.12</f>
        <v>125084.761875</v>
      </c>
      <c r="J13" s="13">
        <f>H13*I13</f>
        <v>1876271.4281249999</v>
      </c>
      <c r="K13" s="28" t="s">
        <v>206</v>
      </c>
      <c r="L13" s="7" t="s">
        <v>204</v>
      </c>
      <c r="M13" s="14" t="s">
        <v>15</v>
      </c>
      <c r="N13" s="15"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</row>
    <row r="14" spans="1:440" s="4" customFormat="1" ht="39" customHeight="1">
      <c r="A14" s="27">
        <v>6</v>
      </c>
      <c r="B14" s="9" t="s">
        <v>120</v>
      </c>
      <c r="C14" s="73" t="s">
        <v>22</v>
      </c>
      <c r="D14" s="86" t="s">
        <v>122</v>
      </c>
      <c r="E14" s="86" t="s">
        <v>123</v>
      </c>
      <c r="F14" s="8" t="s">
        <v>72</v>
      </c>
      <c r="G14" s="18" t="s">
        <v>87</v>
      </c>
      <c r="H14" s="19">
        <v>1000000</v>
      </c>
      <c r="I14" s="20">
        <f>10.1024/1.12</f>
        <v>9.0199999999999978</v>
      </c>
      <c r="J14" s="20">
        <f t="shared" ref="J14:J34" si="0">H14*I14</f>
        <v>9019999.9999999981</v>
      </c>
      <c r="K14" s="28" t="s">
        <v>206</v>
      </c>
      <c r="L14" s="7" t="s">
        <v>348</v>
      </c>
      <c r="M14" s="14" t="s">
        <v>15</v>
      </c>
      <c r="N14" s="15"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</row>
    <row r="15" spans="1:440" s="4" customFormat="1" ht="36.6" customHeight="1">
      <c r="A15" s="27">
        <v>7</v>
      </c>
      <c r="B15" s="9" t="s">
        <v>120</v>
      </c>
      <c r="C15" s="73" t="s">
        <v>22</v>
      </c>
      <c r="D15" s="86" t="s">
        <v>122</v>
      </c>
      <c r="E15" s="86" t="s">
        <v>123</v>
      </c>
      <c r="F15" s="8" t="s">
        <v>72</v>
      </c>
      <c r="G15" s="18" t="s">
        <v>87</v>
      </c>
      <c r="H15" s="19">
        <v>1000000</v>
      </c>
      <c r="I15" s="20">
        <f>10.1024/1.12</f>
        <v>9.0199999999999978</v>
      </c>
      <c r="J15" s="20">
        <f t="shared" si="0"/>
        <v>9019999.9999999981</v>
      </c>
      <c r="K15" s="28" t="s">
        <v>207</v>
      </c>
      <c r="L15" s="7" t="s">
        <v>202</v>
      </c>
      <c r="M15" s="14" t="s">
        <v>15</v>
      </c>
      <c r="N15" s="15"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</row>
    <row r="16" spans="1:440" s="4" customFormat="1" ht="63">
      <c r="A16" s="27">
        <v>8</v>
      </c>
      <c r="B16" s="9" t="s">
        <v>120</v>
      </c>
      <c r="C16" s="7" t="s">
        <v>22</v>
      </c>
      <c r="D16" s="85" t="s">
        <v>321</v>
      </c>
      <c r="E16" s="85" t="s">
        <v>219</v>
      </c>
      <c r="F16" s="8" t="s">
        <v>159</v>
      </c>
      <c r="G16" s="10" t="s">
        <v>23</v>
      </c>
      <c r="H16" s="11">
        <v>100</v>
      </c>
      <c r="I16" s="12">
        <f>7178/1.12</f>
        <v>6408.9285714285706</v>
      </c>
      <c r="J16" s="20">
        <f t="shared" si="0"/>
        <v>640892.85714285704</v>
      </c>
      <c r="K16" s="28" t="s">
        <v>207</v>
      </c>
      <c r="L16" s="7" t="s">
        <v>202</v>
      </c>
      <c r="M16" s="14" t="s">
        <v>15</v>
      </c>
      <c r="N16" s="15">
        <v>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</row>
    <row r="17" spans="1:440" s="4" customFormat="1" ht="63">
      <c r="A17" s="27">
        <v>9</v>
      </c>
      <c r="B17" s="9" t="s">
        <v>120</v>
      </c>
      <c r="C17" s="7" t="s">
        <v>22</v>
      </c>
      <c r="D17" s="85" t="s">
        <v>25</v>
      </c>
      <c r="E17" s="85" t="s">
        <v>26</v>
      </c>
      <c r="F17" s="8" t="s">
        <v>116</v>
      </c>
      <c r="G17" s="10" t="s">
        <v>23</v>
      </c>
      <c r="H17" s="11">
        <v>100</v>
      </c>
      <c r="I17" s="12">
        <f>2630.32/1.12</f>
        <v>2348.5</v>
      </c>
      <c r="J17" s="20">
        <f t="shared" si="0"/>
        <v>234850</v>
      </c>
      <c r="K17" s="28" t="s">
        <v>206</v>
      </c>
      <c r="L17" s="7" t="s">
        <v>206</v>
      </c>
      <c r="M17" s="14" t="s">
        <v>15</v>
      </c>
      <c r="N17" s="15">
        <v>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</row>
    <row r="18" spans="1:440" s="4" customFormat="1" ht="63">
      <c r="A18" s="27">
        <v>10</v>
      </c>
      <c r="B18" s="9" t="s">
        <v>120</v>
      </c>
      <c r="C18" s="7" t="s">
        <v>11</v>
      </c>
      <c r="D18" s="85" t="s">
        <v>302</v>
      </c>
      <c r="E18" s="85" t="s">
        <v>301</v>
      </c>
      <c r="F18" s="8" t="s">
        <v>159</v>
      </c>
      <c r="G18" s="10" t="s">
        <v>14</v>
      </c>
      <c r="H18" s="11">
        <v>1</v>
      </c>
      <c r="I18" s="12">
        <f>1790725/1.12</f>
        <v>1598861.607142857</v>
      </c>
      <c r="J18" s="13">
        <f t="shared" si="0"/>
        <v>1598861.607142857</v>
      </c>
      <c r="K18" s="28" t="s">
        <v>206</v>
      </c>
      <c r="L18" s="7" t="s">
        <v>206</v>
      </c>
      <c r="M18" s="14" t="s">
        <v>15</v>
      </c>
      <c r="N18" s="15">
        <v>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</row>
    <row r="19" spans="1:440" s="4" customFormat="1" ht="36.6" customHeight="1">
      <c r="A19" s="27">
        <v>11</v>
      </c>
      <c r="B19" s="9" t="s">
        <v>120</v>
      </c>
      <c r="C19" s="7" t="s">
        <v>11</v>
      </c>
      <c r="D19" s="85" t="s">
        <v>322</v>
      </c>
      <c r="E19" s="85" t="s">
        <v>222</v>
      </c>
      <c r="F19" s="8" t="s">
        <v>72</v>
      </c>
      <c r="G19" s="10" t="s">
        <v>14</v>
      </c>
      <c r="H19" s="11">
        <v>1</v>
      </c>
      <c r="I19" s="12">
        <f>13234438/1.12</f>
        <v>11816462.499999998</v>
      </c>
      <c r="J19" s="13">
        <f t="shared" si="0"/>
        <v>11816462.499999998</v>
      </c>
      <c r="K19" s="28" t="s">
        <v>206</v>
      </c>
      <c r="L19" s="7" t="s">
        <v>201</v>
      </c>
      <c r="M19" s="14" t="s">
        <v>15</v>
      </c>
      <c r="N19" s="15"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</row>
    <row r="20" spans="1:440" s="4" customFormat="1" ht="42.6" customHeight="1">
      <c r="A20" s="27">
        <v>12</v>
      </c>
      <c r="B20" s="9" t="s">
        <v>120</v>
      </c>
      <c r="C20" s="7" t="s">
        <v>11</v>
      </c>
      <c r="D20" s="85" t="s">
        <v>168</v>
      </c>
      <c r="E20" s="85" t="s">
        <v>169</v>
      </c>
      <c r="F20" s="8" t="s">
        <v>72</v>
      </c>
      <c r="G20" s="10" t="s">
        <v>14</v>
      </c>
      <c r="H20" s="11">
        <v>1</v>
      </c>
      <c r="I20" s="12">
        <f>16100000/1.12</f>
        <v>14374999.999999998</v>
      </c>
      <c r="J20" s="13">
        <f>I20</f>
        <v>14374999.999999998</v>
      </c>
      <c r="K20" s="28" t="s">
        <v>206</v>
      </c>
      <c r="L20" s="7" t="s">
        <v>201</v>
      </c>
      <c r="M20" s="14" t="s">
        <v>15</v>
      </c>
      <c r="N20" s="15">
        <v>0</v>
      </c>
      <c r="O20" s="117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</row>
    <row r="21" spans="1:440" s="4" customFormat="1" ht="52.9" customHeight="1">
      <c r="A21" s="27">
        <v>13</v>
      </c>
      <c r="B21" s="9" t="s">
        <v>120</v>
      </c>
      <c r="C21" s="7" t="s">
        <v>11</v>
      </c>
      <c r="D21" s="85" t="s">
        <v>354</v>
      </c>
      <c r="E21" s="85" t="s">
        <v>351</v>
      </c>
      <c r="F21" s="8" t="s">
        <v>72</v>
      </c>
      <c r="G21" s="10" t="s">
        <v>14</v>
      </c>
      <c r="H21" s="11">
        <v>1</v>
      </c>
      <c r="I21" s="12">
        <f>7546324.4/1.12</f>
        <v>6737789.6428571427</v>
      </c>
      <c r="J21" s="13">
        <f>H21*I21</f>
        <v>6737789.6428571427</v>
      </c>
      <c r="K21" s="28" t="s">
        <v>206</v>
      </c>
      <c r="L21" s="7" t="s">
        <v>201</v>
      </c>
      <c r="M21" s="14" t="s">
        <v>15</v>
      </c>
      <c r="N21" s="15">
        <v>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</row>
    <row r="22" spans="1:440" s="4" customFormat="1" ht="38.450000000000003" customHeight="1">
      <c r="A22" s="27">
        <v>14</v>
      </c>
      <c r="B22" s="9" t="s">
        <v>120</v>
      </c>
      <c r="C22" s="7" t="s">
        <v>11</v>
      </c>
      <c r="D22" s="85" t="s">
        <v>355</v>
      </c>
      <c r="E22" s="85" t="s">
        <v>352</v>
      </c>
      <c r="F22" s="8" t="s">
        <v>72</v>
      </c>
      <c r="G22" s="10" t="s">
        <v>14</v>
      </c>
      <c r="H22" s="11">
        <v>1</v>
      </c>
      <c r="I22" s="12">
        <f>2822400/1.12</f>
        <v>2519999.9999999995</v>
      </c>
      <c r="J22" s="13">
        <f>H22*I22</f>
        <v>2519999.9999999995</v>
      </c>
      <c r="K22" s="28" t="s">
        <v>206</v>
      </c>
      <c r="L22" s="7" t="s">
        <v>201</v>
      </c>
      <c r="M22" s="14" t="s">
        <v>15</v>
      </c>
      <c r="N22" s="15"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</row>
    <row r="23" spans="1:440" s="4" customFormat="1" ht="63">
      <c r="A23" s="27">
        <v>15</v>
      </c>
      <c r="B23" s="9" t="s">
        <v>120</v>
      </c>
      <c r="C23" s="7" t="s">
        <v>11</v>
      </c>
      <c r="D23" s="85" t="s">
        <v>356</v>
      </c>
      <c r="E23" s="85" t="s">
        <v>353</v>
      </c>
      <c r="F23" s="8" t="s">
        <v>159</v>
      </c>
      <c r="G23" s="10" t="s">
        <v>14</v>
      </c>
      <c r="H23" s="11">
        <v>1</v>
      </c>
      <c r="I23" s="12">
        <f>1902360/1.12</f>
        <v>1698535.7142857141</v>
      </c>
      <c r="J23" s="13">
        <f t="shared" ref="J23" si="1">H23*I23</f>
        <v>1698535.7142857141</v>
      </c>
      <c r="K23" s="28" t="s">
        <v>206</v>
      </c>
      <c r="L23" s="7" t="s">
        <v>201</v>
      </c>
      <c r="M23" s="14" t="s">
        <v>15</v>
      </c>
      <c r="N23" s="15"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</row>
    <row r="24" spans="1:440" s="4" customFormat="1" ht="94.5">
      <c r="A24" s="27">
        <v>16</v>
      </c>
      <c r="B24" s="9" t="s">
        <v>120</v>
      </c>
      <c r="C24" s="7" t="s">
        <v>11</v>
      </c>
      <c r="D24" s="85" t="s">
        <v>323</v>
      </c>
      <c r="E24" s="85" t="s">
        <v>21</v>
      </c>
      <c r="F24" s="8" t="s">
        <v>72</v>
      </c>
      <c r="G24" s="10" t="s">
        <v>14</v>
      </c>
      <c r="H24" s="11">
        <v>1</v>
      </c>
      <c r="I24" s="12">
        <f>4063301.82/1.12</f>
        <v>3627948.0535714282</v>
      </c>
      <c r="J24" s="13">
        <f>I24</f>
        <v>3627948.0535714282</v>
      </c>
      <c r="K24" s="28" t="s">
        <v>206</v>
      </c>
      <c r="L24" s="7" t="s">
        <v>201</v>
      </c>
      <c r="M24" s="14" t="s">
        <v>15</v>
      </c>
      <c r="N24" s="15">
        <v>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</row>
    <row r="25" spans="1:440" s="4" customFormat="1" ht="63">
      <c r="A25" s="27">
        <v>17</v>
      </c>
      <c r="B25" s="9" t="s">
        <v>120</v>
      </c>
      <c r="C25" s="7" t="s">
        <v>11</v>
      </c>
      <c r="D25" s="85" t="s">
        <v>221</v>
      </c>
      <c r="E25" s="85" t="s">
        <v>220</v>
      </c>
      <c r="F25" s="8" t="s">
        <v>159</v>
      </c>
      <c r="G25" s="10" t="s">
        <v>14</v>
      </c>
      <c r="H25" s="11">
        <v>1</v>
      </c>
      <c r="I25" s="12">
        <f>1120504/1.12</f>
        <v>1000449.9999999999</v>
      </c>
      <c r="J25" s="13">
        <f>H25*I25</f>
        <v>1000449.9999999999</v>
      </c>
      <c r="K25" s="28" t="s">
        <v>206</v>
      </c>
      <c r="L25" s="7" t="s">
        <v>201</v>
      </c>
      <c r="M25" s="14" t="s">
        <v>15</v>
      </c>
      <c r="N25" s="15">
        <v>0</v>
      </c>
      <c r="O25" s="117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</row>
    <row r="26" spans="1:440" s="4" customFormat="1" ht="47.25">
      <c r="A26" s="27">
        <v>18</v>
      </c>
      <c r="B26" s="9" t="s">
        <v>120</v>
      </c>
      <c r="C26" s="7" t="s">
        <v>11</v>
      </c>
      <c r="D26" s="85" t="s">
        <v>324</v>
      </c>
      <c r="E26" s="85" t="s">
        <v>303</v>
      </c>
      <c r="F26" s="8" t="s">
        <v>164</v>
      </c>
      <c r="G26" s="10" t="s">
        <v>14</v>
      </c>
      <c r="H26" s="11">
        <v>1</v>
      </c>
      <c r="I26" s="12">
        <f>1526000</f>
        <v>1526000</v>
      </c>
      <c r="J26" s="13">
        <f t="shared" si="0"/>
        <v>1526000</v>
      </c>
      <c r="K26" s="28" t="s">
        <v>206</v>
      </c>
      <c r="L26" s="7" t="s">
        <v>201</v>
      </c>
      <c r="M26" s="14" t="s">
        <v>15</v>
      </c>
      <c r="N26" s="15"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</row>
    <row r="27" spans="1:440" s="4" customFormat="1" ht="31.5">
      <c r="A27" s="27">
        <v>19</v>
      </c>
      <c r="B27" s="9" t="s">
        <v>120</v>
      </c>
      <c r="C27" s="7" t="s">
        <v>11</v>
      </c>
      <c r="D27" s="85" t="s">
        <v>223</v>
      </c>
      <c r="E27" s="85" t="s">
        <v>304</v>
      </c>
      <c r="F27" s="8" t="s">
        <v>72</v>
      </c>
      <c r="G27" s="10" t="s">
        <v>14</v>
      </c>
      <c r="H27" s="11">
        <v>1</v>
      </c>
      <c r="I27" s="12">
        <f>6500000/1.12</f>
        <v>5803571.4285714282</v>
      </c>
      <c r="J27" s="13">
        <f t="shared" si="0"/>
        <v>5803571.4285714282</v>
      </c>
      <c r="K27" s="28" t="s">
        <v>206</v>
      </c>
      <c r="L27" s="7" t="s">
        <v>201</v>
      </c>
      <c r="M27" s="14" t="s">
        <v>15</v>
      </c>
      <c r="N27" s="15"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</row>
    <row r="28" spans="1:440" s="4" customFormat="1" ht="63">
      <c r="A28" s="27">
        <v>20</v>
      </c>
      <c r="B28" s="9" t="s">
        <v>120</v>
      </c>
      <c r="C28" s="7" t="s">
        <v>11</v>
      </c>
      <c r="D28" s="85" t="s">
        <v>224</v>
      </c>
      <c r="E28" s="85" t="s">
        <v>224</v>
      </c>
      <c r="F28" s="8" t="s">
        <v>159</v>
      </c>
      <c r="G28" s="10" t="s">
        <v>14</v>
      </c>
      <c r="H28" s="11">
        <v>1</v>
      </c>
      <c r="I28" s="12">
        <f>1085566.04/1.12</f>
        <v>969255.39285714284</v>
      </c>
      <c r="J28" s="13">
        <f t="shared" si="0"/>
        <v>969255.39285714284</v>
      </c>
      <c r="K28" s="28" t="s">
        <v>206</v>
      </c>
      <c r="L28" s="7" t="s">
        <v>201</v>
      </c>
      <c r="M28" s="14" t="s">
        <v>15</v>
      </c>
      <c r="N28" s="15"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</row>
    <row r="29" spans="1:440" s="4" customFormat="1" ht="63">
      <c r="A29" s="27">
        <v>21</v>
      </c>
      <c r="B29" s="9" t="s">
        <v>120</v>
      </c>
      <c r="C29" s="7" t="s">
        <v>11</v>
      </c>
      <c r="D29" s="85" t="s">
        <v>225</v>
      </c>
      <c r="E29" s="85" t="s">
        <v>225</v>
      </c>
      <c r="F29" s="8" t="s">
        <v>116</v>
      </c>
      <c r="G29" s="10" t="s">
        <v>14</v>
      </c>
      <c r="H29" s="11">
        <v>1</v>
      </c>
      <c r="I29" s="12">
        <f>158240/1.12</f>
        <v>141285.71428571426</v>
      </c>
      <c r="J29" s="13">
        <f t="shared" si="0"/>
        <v>141285.71428571426</v>
      </c>
      <c r="K29" s="28" t="s">
        <v>206</v>
      </c>
      <c r="L29" s="7" t="s">
        <v>201</v>
      </c>
      <c r="M29" s="14" t="s">
        <v>15</v>
      </c>
      <c r="N29" s="15"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</row>
    <row r="30" spans="1:440" s="4" customFormat="1" ht="31.5">
      <c r="A30" s="27">
        <v>22</v>
      </c>
      <c r="B30" s="9" t="s">
        <v>120</v>
      </c>
      <c r="C30" s="7" t="s">
        <v>11</v>
      </c>
      <c r="D30" s="85" t="s">
        <v>211</v>
      </c>
      <c r="E30" s="85" t="s">
        <v>170</v>
      </c>
      <c r="F30" s="8" t="s">
        <v>72</v>
      </c>
      <c r="G30" s="10" t="s">
        <v>14</v>
      </c>
      <c r="H30" s="11">
        <v>1</v>
      </c>
      <c r="I30" s="12">
        <f>5616000/1.12</f>
        <v>5014285.7142857136</v>
      </c>
      <c r="J30" s="13">
        <f t="shared" si="0"/>
        <v>5014285.7142857136</v>
      </c>
      <c r="K30" s="28" t="s">
        <v>206</v>
      </c>
      <c r="L30" s="7" t="s">
        <v>201</v>
      </c>
      <c r="M30" s="14" t="s">
        <v>15</v>
      </c>
      <c r="N30" s="15">
        <v>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</row>
    <row r="31" spans="1:440" s="4" customFormat="1" ht="94.5">
      <c r="A31" s="27">
        <v>23</v>
      </c>
      <c r="B31" s="9" t="s">
        <v>120</v>
      </c>
      <c r="C31" s="7" t="s">
        <v>11</v>
      </c>
      <c r="D31" s="85" t="s">
        <v>365</v>
      </c>
      <c r="E31" s="85" t="s">
        <v>366</v>
      </c>
      <c r="F31" s="8" t="s">
        <v>159</v>
      </c>
      <c r="G31" s="10" t="s">
        <v>14</v>
      </c>
      <c r="H31" s="11">
        <v>1</v>
      </c>
      <c r="I31" s="12">
        <f>546468.4/1.12</f>
        <v>487918.21428571426</v>
      </c>
      <c r="J31" s="13">
        <f t="shared" si="0"/>
        <v>487918.21428571426</v>
      </c>
      <c r="K31" s="14" t="s">
        <v>208</v>
      </c>
      <c r="L31" s="7" t="s">
        <v>202</v>
      </c>
      <c r="M31" s="14" t="s">
        <v>15</v>
      </c>
      <c r="N31" s="15"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</row>
    <row r="32" spans="1:440" s="4" customFormat="1" ht="63">
      <c r="A32" s="27">
        <v>24</v>
      </c>
      <c r="B32" s="9" t="s">
        <v>120</v>
      </c>
      <c r="C32" s="7" t="s">
        <v>11</v>
      </c>
      <c r="D32" s="85" t="s">
        <v>367</v>
      </c>
      <c r="E32" s="85" t="s">
        <v>368</v>
      </c>
      <c r="F32" s="8" t="s">
        <v>116</v>
      </c>
      <c r="G32" s="10" t="s">
        <v>14</v>
      </c>
      <c r="H32" s="11">
        <v>1</v>
      </c>
      <c r="I32" s="12">
        <f>105505/1.12</f>
        <v>94200.892857142855</v>
      </c>
      <c r="J32" s="13">
        <f t="shared" si="0"/>
        <v>94200.892857142855</v>
      </c>
      <c r="K32" s="28" t="s">
        <v>206</v>
      </c>
      <c r="L32" s="7" t="s">
        <v>203</v>
      </c>
      <c r="M32" s="14" t="s">
        <v>15</v>
      </c>
      <c r="N32" s="15"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</row>
    <row r="33" spans="1:440" s="4" customFormat="1" ht="78.75">
      <c r="A33" s="27">
        <v>25</v>
      </c>
      <c r="B33" s="9" t="s">
        <v>120</v>
      </c>
      <c r="C33" s="7" t="s">
        <v>11</v>
      </c>
      <c r="D33" s="85" t="s">
        <v>363</v>
      </c>
      <c r="E33" s="85" t="s">
        <v>364</v>
      </c>
      <c r="F33" s="8" t="s">
        <v>116</v>
      </c>
      <c r="G33" s="10" t="s">
        <v>14</v>
      </c>
      <c r="H33" s="11">
        <v>1</v>
      </c>
      <c r="I33" s="12">
        <f>280546/1.12</f>
        <v>250487.49999999997</v>
      </c>
      <c r="J33" s="13">
        <f t="shared" si="0"/>
        <v>250487.49999999997</v>
      </c>
      <c r="K33" s="7" t="s">
        <v>205</v>
      </c>
      <c r="L33" s="7" t="s">
        <v>205</v>
      </c>
      <c r="M33" s="14" t="s">
        <v>15</v>
      </c>
      <c r="N33" s="15"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</row>
    <row r="34" spans="1:440" s="4" customFormat="1" ht="63">
      <c r="A34" s="27">
        <v>26</v>
      </c>
      <c r="B34" s="9" t="s">
        <v>120</v>
      </c>
      <c r="C34" s="7" t="s">
        <v>11</v>
      </c>
      <c r="D34" s="85" t="s">
        <v>212</v>
      </c>
      <c r="E34" s="85" t="s">
        <v>171</v>
      </c>
      <c r="F34" s="8" t="s">
        <v>159</v>
      </c>
      <c r="G34" s="10" t="s">
        <v>14</v>
      </c>
      <c r="H34" s="11">
        <v>1</v>
      </c>
      <c r="I34" s="12">
        <f>800000/1.12</f>
        <v>714285.7142857142</v>
      </c>
      <c r="J34" s="13">
        <f t="shared" si="0"/>
        <v>714285.7142857142</v>
      </c>
      <c r="K34" s="28" t="s">
        <v>206</v>
      </c>
      <c r="L34" s="7" t="s">
        <v>203</v>
      </c>
      <c r="M34" s="14" t="s">
        <v>15</v>
      </c>
      <c r="N34" s="15">
        <v>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</row>
    <row r="35" spans="1:440" s="4" customFormat="1" ht="31.5">
      <c r="A35" s="27">
        <v>27</v>
      </c>
      <c r="B35" s="9" t="s">
        <v>120</v>
      </c>
      <c r="C35" s="7" t="s">
        <v>11</v>
      </c>
      <c r="D35" s="85" t="s">
        <v>325</v>
      </c>
      <c r="E35" s="85" t="s">
        <v>172</v>
      </c>
      <c r="F35" s="8" t="s">
        <v>164</v>
      </c>
      <c r="G35" s="10" t="s">
        <v>14</v>
      </c>
      <c r="H35" s="11">
        <v>1</v>
      </c>
      <c r="I35" s="12">
        <f>3938799.43</f>
        <v>3938799.43</v>
      </c>
      <c r="J35" s="13">
        <f>H35*I35</f>
        <v>3938799.43</v>
      </c>
      <c r="K35" s="28" t="s">
        <v>206</v>
      </c>
      <c r="L35" s="7" t="s">
        <v>201</v>
      </c>
      <c r="M35" s="14" t="s">
        <v>15</v>
      </c>
      <c r="N35" s="15">
        <v>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</row>
    <row r="36" spans="1:440" s="4" customFormat="1" ht="47.25">
      <c r="A36" s="27">
        <v>28</v>
      </c>
      <c r="B36" s="9" t="s">
        <v>120</v>
      </c>
      <c r="C36" s="7" t="s">
        <v>11</v>
      </c>
      <c r="D36" s="85" t="s">
        <v>349</v>
      </c>
      <c r="E36" s="85" t="s">
        <v>227</v>
      </c>
      <c r="F36" s="8" t="s">
        <v>164</v>
      </c>
      <c r="G36" s="10" t="s">
        <v>14</v>
      </c>
      <c r="H36" s="11">
        <v>1</v>
      </c>
      <c r="I36" s="12">
        <f>5343580</f>
        <v>5343580</v>
      </c>
      <c r="J36" s="13">
        <f>H36*I36</f>
        <v>5343580</v>
      </c>
      <c r="K36" s="28" t="s">
        <v>206</v>
      </c>
      <c r="L36" s="7" t="s">
        <v>201</v>
      </c>
      <c r="M36" s="14" t="s">
        <v>15</v>
      </c>
      <c r="N36" s="15">
        <v>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</row>
    <row r="37" spans="1:440" s="4" customFormat="1" ht="78.75">
      <c r="A37" s="27">
        <v>29</v>
      </c>
      <c r="B37" s="9" t="s">
        <v>120</v>
      </c>
      <c r="C37" s="7" t="s">
        <v>11</v>
      </c>
      <c r="D37" s="85" t="s">
        <v>175</v>
      </c>
      <c r="E37" s="85" t="s">
        <v>173</v>
      </c>
      <c r="F37" s="8" t="s">
        <v>116</v>
      </c>
      <c r="G37" s="10" t="s">
        <v>14</v>
      </c>
      <c r="H37" s="11">
        <v>1</v>
      </c>
      <c r="I37" s="12">
        <f>490680/1.12</f>
        <v>438107.14285714284</v>
      </c>
      <c r="J37" s="13">
        <f t="shared" ref="J37:J100" si="2">H37*I37</f>
        <v>438107.14285714284</v>
      </c>
      <c r="K37" s="14" t="s">
        <v>208</v>
      </c>
      <c r="L37" s="7" t="s">
        <v>202</v>
      </c>
      <c r="M37" s="14" t="s">
        <v>15</v>
      </c>
      <c r="N37" s="15">
        <v>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</row>
    <row r="38" spans="1:440" s="4" customFormat="1" ht="78.75">
      <c r="A38" s="27">
        <v>30</v>
      </c>
      <c r="B38" s="9" t="s">
        <v>120</v>
      </c>
      <c r="C38" s="7" t="s">
        <v>11</v>
      </c>
      <c r="D38" s="85" t="s">
        <v>176</v>
      </c>
      <c r="E38" s="85" t="s">
        <v>174</v>
      </c>
      <c r="F38" s="8" t="s">
        <v>116</v>
      </c>
      <c r="G38" s="10" t="s">
        <v>14</v>
      </c>
      <c r="H38" s="11">
        <v>1</v>
      </c>
      <c r="I38" s="12">
        <f>425616/1.12</f>
        <v>380014.28571428568</v>
      </c>
      <c r="J38" s="13">
        <f t="shared" si="2"/>
        <v>380014.28571428568</v>
      </c>
      <c r="K38" s="14" t="s">
        <v>208</v>
      </c>
      <c r="L38" s="7" t="s">
        <v>202</v>
      </c>
      <c r="M38" s="14" t="s">
        <v>15</v>
      </c>
      <c r="N38" s="15">
        <v>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</row>
    <row r="39" spans="1:440" s="4" customFormat="1" ht="63">
      <c r="A39" s="27">
        <v>31</v>
      </c>
      <c r="B39" s="9" t="s">
        <v>120</v>
      </c>
      <c r="C39" s="7" t="s">
        <v>11</v>
      </c>
      <c r="D39" s="85" t="s">
        <v>226</v>
      </c>
      <c r="E39" s="85" t="s">
        <v>226</v>
      </c>
      <c r="F39" s="8" t="s">
        <v>159</v>
      </c>
      <c r="G39" s="10" t="s">
        <v>14</v>
      </c>
      <c r="H39" s="11">
        <v>1</v>
      </c>
      <c r="I39" s="12">
        <f>1469000/1.12</f>
        <v>1311607.1428571427</v>
      </c>
      <c r="J39" s="13">
        <f t="shared" si="2"/>
        <v>1311607.1428571427</v>
      </c>
      <c r="K39" s="28" t="s">
        <v>206</v>
      </c>
      <c r="L39" s="7" t="s">
        <v>201</v>
      </c>
      <c r="M39" s="14" t="s">
        <v>15</v>
      </c>
      <c r="N39" s="15">
        <v>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</row>
    <row r="40" spans="1:440" s="4" customFormat="1" ht="63">
      <c r="A40" s="27">
        <v>32</v>
      </c>
      <c r="B40" s="9" t="s">
        <v>120</v>
      </c>
      <c r="C40" s="7" t="s">
        <v>22</v>
      </c>
      <c r="D40" s="85" t="s">
        <v>326</v>
      </c>
      <c r="E40" s="85" t="s">
        <v>273</v>
      </c>
      <c r="F40" s="8" t="s">
        <v>116</v>
      </c>
      <c r="G40" s="10" t="s">
        <v>23</v>
      </c>
      <c r="H40" s="11">
        <v>2</v>
      </c>
      <c r="I40" s="12">
        <f>31700/1.12</f>
        <v>28303.571428571428</v>
      </c>
      <c r="J40" s="13">
        <f>H40*I40</f>
        <v>56607.142857142855</v>
      </c>
      <c r="K40" s="14" t="s">
        <v>208</v>
      </c>
      <c r="L40" s="7" t="s">
        <v>208</v>
      </c>
      <c r="M40" s="14" t="s">
        <v>15</v>
      </c>
      <c r="N40" s="15"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</row>
    <row r="41" spans="1:440" s="4" customFormat="1" ht="63">
      <c r="A41" s="27">
        <v>33</v>
      </c>
      <c r="B41" s="9" t="s">
        <v>120</v>
      </c>
      <c r="C41" s="7" t="s">
        <v>22</v>
      </c>
      <c r="D41" s="85" t="s">
        <v>327</v>
      </c>
      <c r="E41" s="85" t="s">
        <v>274</v>
      </c>
      <c r="F41" s="8" t="s">
        <v>116</v>
      </c>
      <c r="G41" s="10" t="s">
        <v>23</v>
      </c>
      <c r="H41" s="11">
        <v>3</v>
      </c>
      <c r="I41" s="12">
        <f>68990/1.12</f>
        <v>61598.214285714283</v>
      </c>
      <c r="J41" s="13">
        <f>H41*I41</f>
        <v>184794.64285714284</v>
      </c>
      <c r="K41" s="14" t="s">
        <v>208</v>
      </c>
      <c r="L41" s="7" t="s">
        <v>208</v>
      </c>
      <c r="M41" s="14" t="s">
        <v>15</v>
      </c>
      <c r="N41" s="15">
        <v>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</row>
    <row r="42" spans="1:440" s="4" customFormat="1" ht="63">
      <c r="A42" s="27">
        <v>34</v>
      </c>
      <c r="B42" s="9" t="s">
        <v>120</v>
      </c>
      <c r="C42" s="7" t="s">
        <v>22</v>
      </c>
      <c r="D42" s="85" t="s">
        <v>275</v>
      </c>
      <c r="E42" s="85" t="s">
        <v>275</v>
      </c>
      <c r="F42" s="8" t="s">
        <v>116</v>
      </c>
      <c r="G42" s="10" t="s">
        <v>23</v>
      </c>
      <c r="H42" s="11">
        <v>6</v>
      </c>
      <c r="I42" s="12">
        <f>68730/1.12</f>
        <v>61366.07142857142</v>
      </c>
      <c r="J42" s="13">
        <f>H42*I42</f>
        <v>368196.42857142852</v>
      </c>
      <c r="K42" s="14" t="s">
        <v>208</v>
      </c>
      <c r="L42" s="7" t="s">
        <v>208</v>
      </c>
      <c r="M42" s="14" t="s">
        <v>15</v>
      </c>
      <c r="N42" s="15">
        <v>0</v>
      </c>
      <c r="O42" s="6"/>
      <c r="P42" s="74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</row>
    <row r="43" spans="1:440" s="4" customFormat="1" ht="78.75">
      <c r="A43" s="27">
        <v>35</v>
      </c>
      <c r="B43" s="9" t="s">
        <v>120</v>
      </c>
      <c r="C43" s="7" t="s">
        <v>22</v>
      </c>
      <c r="D43" s="85" t="s">
        <v>290</v>
      </c>
      <c r="E43" s="85" t="s">
        <v>290</v>
      </c>
      <c r="F43" s="8" t="s">
        <v>116</v>
      </c>
      <c r="G43" s="10" t="s">
        <v>23</v>
      </c>
      <c r="H43" s="11">
        <v>2</v>
      </c>
      <c r="I43" s="12">
        <f>22900/1.12</f>
        <v>20446.428571428569</v>
      </c>
      <c r="J43" s="13">
        <f t="shared" ref="J43:J44" si="3">H43*I43</f>
        <v>40892.857142857138</v>
      </c>
      <c r="K43" s="14" t="s">
        <v>208</v>
      </c>
      <c r="L43" s="7" t="s">
        <v>208</v>
      </c>
      <c r="M43" s="14" t="s">
        <v>15</v>
      </c>
      <c r="N43" s="15">
        <v>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</row>
    <row r="44" spans="1:440" s="4" customFormat="1" ht="63">
      <c r="A44" s="27">
        <v>36</v>
      </c>
      <c r="B44" s="9" t="s">
        <v>120</v>
      </c>
      <c r="C44" s="7" t="s">
        <v>22</v>
      </c>
      <c r="D44" s="85" t="s">
        <v>277</v>
      </c>
      <c r="E44" s="85" t="s">
        <v>276</v>
      </c>
      <c r="F44" s="8" t="s">
        <v>116</v>
      </c>
      <c r="G44" s="10" t="s">
        <v>23</v>
      </c>
      <c r="H44" s="11">
        <v>4</v>
      </c>
      <c r="I44" s="12">
        <f>28980/1.12</f>
        <v>25874.999999999996</v>
      </c>
      <c r="J44" s="13">
        <f t="shared" si="3"/>
        <v>103499.99999999999</v>
      </c>
      <c r="K44" s="14" t="s">
        <v>208</v>
      </c>
      <c r="L44" s="7" t="s">
        <v>208</v>
      </c>
      <c r="M44" s="14" t="s">
        <v>15</v>
      </c>
      <c r="N44" s="15"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</row>
    <row r="45" spans="1:440" s="4" customFormat="1" ht="63">
      <c r="A45" s="27">
        <v>37</v>
      </c>
      <c r="B45" s="9" t="s">
        <v>120</v>
      </c>
      <c r="C45" s="7" t="s">
        <v>22</v>
      </c>
      <c r="D45" s="85" t="s">
        <v>291</v>
      </c>
      <c r="E45" s="85" t="s">
        <v>291</v>
      </c>
      <c r="F45" s="8" t="s">
        <v>116</v>
      </c>
      <c r="G45" s="10" t="s">
        <v>23</v>
      </c>
      <c r="H45" s="11">
        <v>3</v>
      </c>
      <c r="I45" s="12">
        <f>75992/1.12</f>
        <v>67850</v>
      </c>
      <c r="J45" s="13">
        <f>H45*I45</f>
        <v>203550</v>
      </c>
      <c r="K45" s="14" t="s">
        <v>208</v>
      </c>
      <c r="L45" s="7" t="s">
        <v>208</v>
      </c>
      <c r="M45" s="14" t="s">
        <v>15</v>
      </c>
      <c r="N45" s="15"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</row>
    <row r="46" spans="1:440" s="4" customFormat="1" ht="63">
      <c r="A46" s="27">
        <v>38</v>
      </c>
      <c r="B46" s="9" t="s">
        <v>120</v>
      </c>
      <c r="C46" s="7" t="s">
        <v>22</v>
      </c>
      <c r="D46" s="85" t="s">
        <v>343</v>
      </c>
      <c r="E46" s="85" t="s">
        <v>292</v>
      </c>
      <c r="F46" s="8" t="s">
        <v>116</v>
      </c>
      <c r="G46" s="10" t="s">
        <v>23</v>
      </c>
      <c r="H46" s="11">
        <v>1</v>
      </c>
      <c r="I46" s="12">
        <f>110984/1.12</f>
        <v>99092.85714285713</v>
      </c>
      <c r="J46" s="13">
        <f t="shared" ref="J46:J64" si="4">H46*I46</f>
        <v>99092.85714285713</v>
      </c>
      <c r="K46" s="14" t="s">
        <v>208</v>
      </c>
      <c r="L46" s="7" t="s">
        <v>208</v>
      </c>
      <c r="M46" s="14" t="s">
        <v>15</v>
      </c>
      <c r="N46" s="15"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</row>
    <row r="47" spans="1:440" s="4" customFormat="1" ht="63">
      <c r="A47" s="27">
        <v>39</v>
      </c>
      <c r="B47" s="9" t="s">
        <v>120</v>
      </c>
      <c r="C47" s="7" t="s">
        <v>22</v>
      </c>
      <c r="D47" s="85" t="s">
        <v>344</v>
      </c>
      <c r="E47" s="85" t="s">
        <v>293</v>
      </c>
      <c r="F47" s="8" t="s">
        <v>116</v>
      </c>
      <c r="G47" s="10" t="s">
        <v>23</v>
      </c>
      <c r="H47" s="11">
        <v>1</v>
      </c>
      <c r="I47" s="12">
        <f>156622/1.12</f>
        <v>139841.07142857142</v>
      </c>
      <c r="J47" s="13">
        <f t="shared" si="4"/>
        <v>139841.07142857142</v>
      </c>
      <c r="K47" s="14" t="s">
        <v>208</v>
      </c>
      <c r="L47" s="7" t="s">
        <v>208</v>
      </c>
      <c r="M47" s="14" t="s">
        <v>15</v>
      </c>
      <c r="N47" s="15"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</row>
    <row r="48" spans="1:440" s="4" customFormat="1" ht="63">
      <c r="A48" s="27">
        <v>40</v>
      </c>
      <c r="B48" s="9" t="s">
        <v>120</v>
      </c>
      <c r="C48" s="7" t="s">
        <v>22</v>
      </c>
      <c r="D48" s="85" t="s">
        <v>345</v>
      </c>
      <c r="E48" s="85" t="s">
        <v>294</v>
      </c>
      <c r="F48" s="8" t="s">
        <v>116</v>
      </c>
      <c r="G48" s="10" t="s">
        <v>23</v>
      </c>
      <c r="H48" s="11">
        <v>1</v>
      </c>
      <c r="I48" s="12">
        <f>156622/1.12</f>
        <v>139841.07142857142</v>
      </c>
      <c r="J48" s="13">
        <f t="shared" si="4"/>
        <v>139841.07142857142</v>
      </c>
      <c r="K48" s="14" t="s">
        <v>208</v>
      </c>
      <c r="L48" s="7" t="s">
        <v>208</v>
      </c>
      <c r="M48" s="14" t="s">
        <v>15</v>
      </c>
      <c r="N48" s="15"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</row>
    <row r="49" spans="1:440" s="4" customFormat="1" ht="63">
      <c r="A49" s="27">
        <v>41</v>
      </c>
      <c r="B49" s="9" t="s">
        <v>120</v>
      </c>
      <c r="C49" s="7" t="s">
        <v>22</v>
      </c>
      <c r="D49" s="85" t="s">
        <v>346</v>
      </c>
      <c r="E49" s="85" t="s">
        <v>295</v>
      </c>
      <c r="F49" s="8" t="s">
        <v>116</v>
      </c>
      <c r="G49" s="10" t="s">
        <v>23</v>
      </c>
      <c r="H49" s="11">
        <v>1</v>
      </c>
      <c r="I49" s="12">
        <f>156622/1.12</f>
        <v>139841.07142857142</v>
      </c>
      <c r="J49" s="13">
        <f t="shared" si="4"/>
        <v>139841.07142857142</v>
      </c>
      <c r="K49" s="14" t="s">
        <v>208</v>
      </c>
      <c r="L49" s="7" t="s">
        <v>208</v>
      </c>
      <c r="M49" s="14" t="s">
        <v>15</v>
      </c>
      <c r="N49" s="15">
        <v>0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</row>
    <row r="50" spans="1:440" s="4" customFormat="1" ht="63">
      <c r="A50" s="27">
        <v>42</v>
      </c>
      <c r="B50" s="9" t="s">
        <v>120</v>
      </c>
      <c r="C50" s="7" t="s">
        <v>22</v>
      </c>
      <c r="D50" s="85" t="s">
        <v>347</v>
      </c>
      <c r="E50" s="85" t="s">
        <v>296</v>
      </c>
      <c r="F50" s="8" t="s">
        <v>116</v>
      </c>
      <c r="G50" s="10" t="s">
        <v>23</v>
      </c>
      <c r="H50" s="11">
        <v>2</v>
      </c>
      <c r="I50" s="12">
        <f>94728/1.12</f>
        <v>84578.57142857142</v>
      </c>
      <c r="J50" s="13">
        <f t="shared" si="4"/>
        <v>169157.14285714284</v>
      </c>
      <c r="K50" s="14" t="s">
        <v>208</v>
      </c>
      <c r="L50" s="7" t="s">
        <v>208</v>
      </c>
      <c r="M50" s="14" t="s">
        <v>15</v>
      </c>
      <c r="N50" s="15">
        <v>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</row>
    <row r="51" spans="1:440" s="4" customFormat="1" ht="63">
      <c r="A51" s="27">
        <v>43</v>
      </c>
      <c r="B51" s="9" t="s">
        <v>120</v>
      </c>
      <c r="C51" s="7" t="s">
        <v>22</v>
      </c>
      <c r="D51" s="85" t="s">
        <v>216</v>
      </c>
      <c r="E51" s="85" t="s">
        <v>217</v>
      </c>
      <c r="F51" s="8" t="s">
        <v>116</v>
      </c>
      <c r="G51" s="10" t="s">
        <v>23</v>
      </c>
      <c r="H51" s="11">
        <v>3</v>
      </c>
      <c r="I51" s="12">
        <f>6300/1.12</f>
        <v>5624.9999999999991</v>
      </c>
      <c r="J51" s="13">
        <f t="shared" si="4"/>
        <v>16874.999999999996</v>
      </c>
      <c r="K51" s="14" t="s">
        <v>208</v>
      </c>
      <c r="L51" s="7" t="s">
        <v>208</v>
      </c>
      <c r="M51" s="14" t="s">
        <v>15</v>
      </c>
      <c r="N51" s="15">
        <v>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</row>
    <row r="52" spans="1:440" s="4" customFormat="1" ht="63">
      <c r="A52" s="27">
        <v>44</v>
      </c>
      <c r="B52" s="9" t="s">
        <v>120</v>
      </c>
      <c r="C52" s="7" t="s">
        <v>22</v>
      </c>
      <c r="D52" s="85" t="s">
        <v>328</v>
      </c>
      <c r="E52" s="85" t="s">
        <v>282</v>
      </c>
      <c r="F52" s="8" t="s">
        <v>116</v>
      </c>
      <c r="G52" s="10" t="s">
        <v>23</v>
      </c>
      <c r="H52" s="11">
        <v>1</v>
      </c>
      <c r="I52" s="12">
        <f>2300/1.12</f>
        <v>2053.5714285714284</v>
      </c>
      <c r="J52" s="13">
        <f t="shared" si="4"/>
        <v>2053.5714285714284</v>
      </c>
      <c r="K52" s="28" t="s">
        <v>206</v>
      </c>
      <c r="L52" s="7" t="s">
        <v>206</v>
      </c>
      <c r="M52" s="14" t="s">
        <v>15</v>
      </c>
      <c r="N52" s="15">
        <v>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</row>
    <row r="53" spans="1:440" s="4" customFormat="1" ht="63">
      <c r="A53" s="27">
        <v>45</v>
      </c>
      <c r="B53" s="9" t="s">
        <v>120</v>
      </c>
      <c r="C53" s="7" t="s">
        <v>22</v>
      </c>
      <c r="D53" s="85" t="s">
        <v>287</v>
      </c>
      <c r="E53" s="85" t="s">
        <v>287</v>
      </c>
      <c r="F53" s="8" t="s">
        <v>116</v>
      </c>
      <c r="G53" s="10" t="s">
        <v>23</v>
      </c>
      <c r="H53" s="11">
        <v>16</v>
      </c>
      <c r="I53" s="12">
        <f>250/1.12</f>
        <v>223.21428571428569</v>
      </c>
      <c r="J53" s="13">
        <f t="shared" si="4"/>
        <v>3571.4285714285711</v>
      </c>
      <c r="K53" s="28" t="s">
        <v>206</v>
      </c>
      <c r="L53" s="7" t="s">
        <v>206</v>
      </c>
      <c r="M53" s="14" t="s">
        <v>15</v>
      </c>
      <c r="N53" s="15">
        <v>0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</row>
    <row r="54" spans="1:440" s="4" customFormat="1" ht="63">
      <c r="A54" s="27">
        <v>46</v>
      </c>
      <c r="B54" s="9" t="s">
        <v>120</v>
      </c>
      <c r="C54" s="7" t="s">
        <v>22</v>
      </c>
      <c r="D54" s="85" t="s">
        <v>286</v>
      </c>
      <c r="E54" s="85" t="s">
        <v>286</v>
      </c>
      <c r="F54" s="8" t="s">
        <v>116</v>
      </c>
      <c r="G54" s="10" t="s">
        <v>23</v>
      </c>
      <c r="H54" s="11">
        <v>16</v>
      </c>
      <c r="I54" s="12">
        <f>238.25/1.12</f>
        <v>212.72321428571428</v>
      </c>
      <c r="J54" s="13">
        <f t="shared" si="4"/>
        <v>3403.5714285714284</v>
      </c>
      <c r="K54" s="28" t="s">
        <v>206</v>
      </c>
      <c r="L54" s="7" t="s">
        <v>206</v>
      </c>
      <c r="M54" s="14" t="s">
        <v>15</v>
      </c>
      <c r="N54" s="15">
        <v>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</row>
    <row r="55" spans="1:440" s="4" customFormat="1" ht="63">
      <c r="A55" s="27">
        <v>47</v>
      </c>
      <c r="B55" s="9" t="s">
        <v>120</v>
      </c>
      <c r="C55" s="7" t="s">
        <v>22</v>
      </c>
      <c r="D55" s="85" t="s">
        <v>288</v>
      </c>
      <c r="E55" s="85" t="s">
        <v>283</v>
      </c>
      <c r="F55" s="8" t="s">
        <v>116</v>
      </c>
      <c r="G55" s="10" t="s">
        <v>23</v>
      </c>
      <c r="H55" s="11">
        <v>3</v>
      </c>
      <c r="I55" s="12">
        <f>14990/1.12</f>
        <v>13383.928571428571</v>
      </c>
      <c r="J55" s="13">
        <f t="shared" si="4"/>
        <v>40151.78571428571</v>
      </c>
      <c r="K55" s="28" t="s">
        <v>206</v>
      </c>
      <c r="L55" s="7" t="s">
        <v>206</v>
      </c>
      <c r="M55" s="14" t="s">
        <v>15</v>
      </c>
      <c r="N55" s="15">
        <v>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</row>
    <row r="56" spans="1:440" s="4" customFormat="1" ht="63">
      <c r="A56" s="27">
        <v>48</v>
      </c>
      <c r="B56" s="9" t="s">
        <v>120</v>
      </c>
      <c r="C56" s="7" t="s">
        <v>22</v>
      </c>
      <c r="D56" s="85" t="s">
        <v>54</v>
      </c>
      <c r="E56" s="85" t="s">
        <v>329</v>
      </c>
      <c r="F56" s="8" t="s">
        <v>116</v>
      </c>
      <c r="G56" s="10" t="s">
        <v>23</v>
      </c>
      <c r="H56" s="11">
        <v>350</v>
      </c>
      <c r="I56" s="12">
        <f>650/1.12</f>
        <v>580.35714285714278</v>
      </c>
      <c r="J56" s="13">
        <f t="shared" si="4"/>
        <v>203124.99999999997</v>
      </c>
      <c r="K56" s="28" t="s">
        <v>206</v>
      </c>
      <c r="L56" s="7" t="s">
        <v>206</v>
      </c>
      <c r="M56" s="14" t="s">
        <v>15</v>
      </c>
      <c r="N56" s="15">
        <v>0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</row>
    <row r="57" spans="1:440" s="4" customFormat="1" ht="63">
      <c r="A57" s="27">
        <v>49</v>
      </c>
      <c r="B57" s="9" t="s">
        <v>120</v>
      </c>
      <c r="C57" s="7" t="s">
        <v>22</v>
      </c>
      <c r="D57" s="85" t="s">
        <v>284</v>
      </c>
      <c r="E57" s="85" t="s">
        <v>284</v>
      </c>
      <c r="F57" s="8" t="s">
        <v>116</v>
      </c>
      <c r="G57" s="10" t="s">
        <v>23</v>
      </c>
      <c r="H57" s="11">
        <v>1</v>
      </c>
      <c r="I57" s="12">
        <f>30990/1.12</f>
        <v>27669.642857142855</v>
      </c>
      <c r="J57" s="13">
        <f t="shared" si="4"/>
        <v>27669.642857142855</v>
      </c>
      <c r="K57" s="14" t="s">
        <v>208</v>
      </c>
      <c r="L57" s="7" t="s">
        <v>208</v>
      </c>
      <c r="M57" s="14" t="s">
        <v>15</v>
      </c>
      <c r="N57" s="15">
        <v>0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6"/>
      <c r="NI57" s="6"/>
      <c r="NJ57" s="6"/>
      <c r="NK57" s="6"/>
      <c r="NL57" s="6"/>
      <c r="NM57" s="6"/>
      <c r="NN57" s="6"/>
      <c r="NO57" s="6"/>
      <c r="NP57" s="6"/>
      <c r="NQ57" s="6"/>
      <c r="NR57" s="6"/>
      <c r="NS57" s="6"/>
      <c r="NT57" s="6"/>
      <c r="NU57" s="6"/>
      <c r="NV57" s="6"/>
      <c r="NW57" s="6"/>
      <c r="NX57" s="6"/>
      <c r="NY57" s="6"/>
      <c r="NZ57" s="6"/>
      <c r="OA57" s="6"/>
      <c r="OB57" s="6"/>
      <c r="OC57" s="6"/>
      <c r="OD57" s="6"/>
      <c r="OE57" s="6"/>
      <c r="OF57" s="6"/>
      <c r="OG57" s="6"/>
      <c r="OH57" s="6"/>
      <c r="OI57" s="6"/>
      <c r="OJ57" s="6"/>
      <c r="OK57" s="6"/>
      <c r="OL57" s="6"/>
      <c r="OM57" s="6"/>
      <c r="ON57" s="6"/>
      <c r="OO57" s="6"/>
      <c r="OP57" s="6"/>
      <c r="OQ57" s="6"/>
      <c r="OR57" s="6"/>
      <c r="OS57" s="6"/>
      <c r="OT57" s="6"/>
      <c r="OU57" s="6"/>
      <c r="OV57" s="6"/>
      <c r="OW57" s="6"/>
      <c r="OX57" s="6"/>
      <c r="OY57" s="6"/>
      <c r="OZ57" s="6"/>
      <c r="PA57" s="6"/>
      <c r="PB57" s="6"/>
      <c r="PC57" s="6"/>
      <c r="PD57" s="6"/>
      <c r="PE57" s="6"/>
      <c r="PF57" s="6"/>
      <c r="PG57" s="6"/>
      <c r="PH57" s="6"/>
      <c r="PI57" s="6"/>
      <c r="PJ57" s="6"/>
      <c r="PK57" s="6"/>
      <c r="PL57" s="6"/>
      <c r="PM57" s="6"/>
      <c r="PN57" s="6"/>
      <c r="PO57" s="6"/>
      <c r="PP57" s="6"/>
      <c r="PQ57" s="6"/>
      <c r="PR57" s="6"/>
      <c r="PS57" s="6"/>
      <c r="PT57" s="6"/>
      <c r="PU57" s="6"/>
      <c r="PV57" s="6"/>
      <c r="PW57" s="6"/>
      <c r="PX57" s="6"/>
    </row>
    <row r="58" spans="1:440" s="4" customFormat="1" ht="63">
      <c r="A58" s="27">
        <v>50</v>
      </c>
      <c r="B58" s="9" t="s">
        <v>120</v>
      </c>
      <c r="C58" s="7" t="s">
        <v>22</v>
      </c>
      <c r="D58" s="85" t="s">
        <v>361</v>
      </c>
      <c r="E58" s="85" t="s">
        <v>360</v>
      </c>
      <c r="F58" s="8" t="s">
        <v>116</v>
      </c>
      <c r="G58" s="10" t="s">
        <v>23</v>
      </c>
      <c r="H58" s="11">
        <v>1</v>
      </c>
      <c r="I58" s="12">
        <f>1750/1.12</f>
        <v>1562.4999999999998</v>
      </c>
      <c r="J58" s="13">
        <f t="shared" si="4"/>
        <v>1562.4999999999998</v>
      </c>
      <c r="K58" s="28" t="s">
        <v>206</v>
      </c>
      <c r="L58" s="7" t="s">
        <v>206</v>
      </c>
      <c r="M58" s="14" t="s">
        <v>15</v>
      </c>
      <c r="N58" s="15">
        <v>0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</row>
    <row r="59" spans="1:440" s="4" customFormat="1" ht="63">
      <c r="A59" s="27">
        <v>51</v>
      </c>
      <c r="B59" s="9" t="s">
        <v>120</v>
      </c>
      <c r="C59" s="7" t="s">
        <v>22</v>
      </c>
      <c r="D59" s="85" t="s">
        <v>289</v>
      </c>
      <c r="E59" s="85" t="s">
        <v>285</v>
      </c>
      <c r="F59" s="8" t="s">
        <v>116</v>
      </c>
      <c r="G59" s="10" t="s">
        <v>23</v>
      </c>
      <c r="H59" s="11">
        <v>500</v>
      </c>
      <c r="I59" s="12">
        <f>2/1.12</f>
        <v>1.7857142857142856</v>
      </c>
      <c r="J59" s="13">
        <f t="shared" si="4"/>
        <v>892.85714285714278</v>
      </c>
      <c r="K59" s="28" t="s">
        <v>206</v>
      </c>
      <c r="L59" s="7" t="s">
        <v>206</v>
      </c>
      <c r="M59" s="14" t="s">
        <v>15</v>
      </c>
      <c r="N59" s="15">
        <v>0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</row>
    <row r="60" spans="1:440" s="4" customFormat="1" ht="63">
      <c r="A60" s="27">
        <v>52</v>
      </c>
      <c r="B60" s="9" t="s">
        <v>120</v>
      </c>
      <c r="C60" s="7" t="s">
        <v>22</v>
      </c>
      <c r="D60" s="85" t="s">
        <v>350</v>
      </c>
      <c r="E60" s="85" t="s">
        <v>297</v>
      </c>
      <c r="F60" s="8" t="s">
        <v>116</v>
      </c>
      <c r="G60" s="10" t="s">
        <v>23</v>
      </c>
      <c r="H60" s="11">
        <v>100</v>
      </c>
      <c r="I60" s="12">
        <f>21/1.12</f>
        <v>18.749999999999996</v>
      </c>
      <c r="J60" s="13">
        <f t="shared" si="4"/>
        <v>1874.9999999999995</v>
      </c>
      <c r="K60" s="28" t="s">
        <v>206</v>
      </c>
      <c r="L60" s="7" t="s">
        <v>206</v>
      </c>
      <c r="M60" s="14" t="s">
        <v>15</v>
      </c>
      <c r="N60" s="15">
        <v>0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  <c r="LN60" s="6"/>
      <c r="LO60" s="6"/>
      <c r="LP60" s="6"/>
      <c r="LQ60" s="6"/>
      <c r="LR60" s="6"/>
      <c r="LS60" s="6"/>
      <c r="LT60" s="6"/>
      <c r="LU60" s="6"/>
      <c r="LV60" s="6"/>
      <c r="LW60" s="6"/>
      <c r="LX60" s="6"/>
      <c r="LY60" s="6"/>
      <c r="LZ60" s="6"/>
      <c r="MA60" s="6"/>
      <c r="MB60" s="6"/>
      <c r="MC60" s="6"/>
      <c r="MD60" s="6"/>
      <c r="ME60" s="6"/>
      <c r="MF60" s="6"/>
      <c r="MG60" s="6"/>
      <c r="MH60" s="6"/>
      <c r="MI60" s="6"/>
      <c r="MJ60" s="6"/>
      <c r="MK60" s="6"/>
      <c r="ML60" s="6"/>
      <c r="MM60" s="6"/>
      <c r="MN60" s="6"/>
      <c r="MO60" s="6"/>
      <c r="MP60" s="6"/>
      <c r="MQ60" s="6"/>
      <c r="MR60" s="6"/>
      <c r="MS60" s="6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  <c r="NG60" s="6"/>
      <c r="NH60" s="6"/>
      <c r="NI60" s="6"/>
      <c r="NJ60" s="6"/>
      <c r="NK60" s="6"/>
      <c r="NL60" s="6"/>
      <c r="NM60" s="6"/>
      <c r="NN60" s="6"/>
      <c r="NO60" s="6"/>
      <c r="NP60" s="6"/>
      <c r="NQ60" s="6"/>
      <c r="NR60" s="6"/>
      <c r="NS60" s="6"/>
      <c r="NT60" s="6"/>
      <c r="NU60" s="6"/>
      <c r="NV60" s="6"/>
      <c r="NW60" s="6"/>
      <c r="NX60" s="6"/>
      <c r="NY60" s="6"/>
      <c r="NZ60" s="6"/>
      <c r="OA60" s="6"/>
      <c r="OB60" s="6"/>
      <c r="OC60" s="6"/>
      <c r="OD60" s="6"/>
      <c r="OE60" s="6"/>
      <c r="OF60" s="6"/>
      <c r="OG60" s="6"/>
      <c r="OH60" s="6"/>
      <c r="OI60" s="6"/>
      <c r="OJ60" s="6"/>
      <c r="OK60" s="6"/>
      <c r="OL60" s="6"/>
      <c r="OM60" s="6"/>
      <c r="ON60" s="6"/>
      <c r="OO60" s="6"/>
      <c r="OP60" s="6"/>
      <c r="OQ60" s="6"/>
      <c r="OR60" s="6"/>
      <c r="OS60" s="6"/>
      <c r="OT60" s="6"/>
      <c r="OU60" s="6"/>
      <c r="OV60" s="6"/>
      <c r="OW60" s="6"/>
      <c r="OX60" s="6"/>
      <c r="OY60" s="6"/>
      <c r="OZ60" s="6"/>
      <c r="PA60" s="6"/>
      <c r="PB60" s="6"/>
      <c r="PC60" s="6"/>
      <c r="PD60" s="6"/>
      <c r="PE60" s="6"/>
      <c r="PF60" s="6"/>
      <c r="PG60" s="6"/>
      <c r="PH60" s="6"/>
      <c r="PI60" s="6"/>
      <c r="PJ60" s="6"/>
      <c r="PK60" s="6"/>
      <c r="PL60" s="6"/>
      <c r="PM60" s="6"/>
      <c r="PN60" s="6"/>
      <c r="PO60" s="6"/>
      <c r="PP60" s="6"/>
      <c r="PQ60" s="6"/>
      <c r="PR60" s="6"/>
      <c r="PS60" s="6"/>
      <c r="PT60" s="6"/>
      <c r="PU60" s="6"/>
      <c r="PV60" s="6"/>
      <c r="PW60" s="6"/>
      <c r="PX60" s="6"/>
    </row>
    <row r="61" spans="1:440" s="4" customFormat="1" ht="63">
      <c r="A61" s="27">
        <v>53</v>
      </c>
      <c r="B61" s="9" t="s">
        <v>120</v>
      </c>
      <c r="C61" s="7" t="s">
        <v>22</v>
      </c>
      <c r="D61" s="85" t="s">
        <v>280</v>
      </c>
      <c r="E61" s="85" t="s">
        <v>278</v>
      </c>
      <c r="F61" s="8" t="s">
        <v>116</v>
      </c>
      <c r="G61" s="10" t="s">
        <v>23</v>
      </c>
      <c r="H61" s="11">
        <v>2</v>
      </c>
      <c r="I61" s="12">
        <f>2370/1.12</f>
        <v>2116.0714285714284</v>
      </c>
      <c r="J61" s="13">
        <f t="shared" si="4"/>
        <v>4232.1428571428569</v>
      </c>
      <c r="K61" s="28" t="s">
        <v>206</v>
      </c>
      <c r="L61" s="7" t="s">
        <v>206</v>
      </c>
      <c r="M61" s="14" t="s">
        <v>15</v>
      </c>
      <c r="N61" s="15">
        <v>0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  <c r="KA61" s="6"/>
      <c r="KB61" s="6"/>
      <c r="KC61" s="6"/>
      <c r="KD61" s="6"/>
      <c r="KE61" s="6"/>
      <c r="KF61" s="6"/>
      <c r="KG61" s="6"/>
      <c r="KH61" s="6"/>
      <c r="KI61" s="6"/>
      <c r="KJ61" s="6"/>
      <c r="KK61" s="6"/>
      <c r="KL61" s="6"/>
      <c r="KM61" s="6"/>
      <c r="KN61" s="6"/>
      <c r="KO61" s="6"/>
      <c r="KP61" s="6"/>
      <c r="KQ61" s="6"/>
      <c r="KR61" s="6"/>
      <c r="KS61" s="6"/>
      <c r="KT61" s="6"/>
      <c r="KU61" s="6"/>
      <c r="KV61" s="6"/>
      <c r="KW61" s="6"/>
      <c r="KX61" s="6"/>
      <c r="KY61" s="6"/>
      <c r="KZ61" s="6"/>
      <c r="LA61" s="6"/>
      <c r="LB61" s="6"/>
      <c r="LC61" s="6"/>
      <c r="LD61" s="6"/>
      <c r="LE61" s="6"/>
      <c r="LF61" s="6"/>
      <c r="LG61" s="6"/>
      <c r="LH61" s="6"/>
      <c r="LI61" s="6"/>
      <c r="LJ61" s="6"/>
      <c r="LK61" s="6"/>
      <c r="LL61" s="6"/>
      <c r="LM61" s="6"/>
      <c r="LN61" s="6"/>
      <c r="LO61" s="6"/>
      <c r="LP61" s="6"/>
      <c r="LQ61" s="6"/>
      <c r="LR61" s="6"/>
      <c r="LS61" s="6"/>
      <c r="LT61" s="6"/>
      <c r="LU61" s="6"/>
      <c r="LV61" s="6"/>
      <c r="LW61" s="6"/>
      <c r="LX61" s="6"/>
      <c r="LY61" s="6"/>
      <c r="LZ61" s="6"/>
      <c r="MA61" s="6"/>
      <c r="MB61" s="6"/>
      <c r="MC61" s="6"/>
      <c r="MD61" s="6"/>
      <c r="ME61" s="6"/>
      <c r="MF61" s="6"/>
      <c r="MG61" s="6"/>
      <c r="MH61" s="6"/>
      <c r="MI61" s="6"/>
      <c r="MJ61" s="6"/>
      <c r="MK61" s="6"/>
      <c r="ML61" s="6"/>
      <c r="MM61" s="6"/>
      <c r="MN61" s="6"/>
      <c r="MO61" s="6"/>
      <c r="MP61" s="6"/>
      <c r="MQ61" s="6"/>
      <c r="MR61" s="6"/>
      <c r="MS61" s="6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  <c r="NG61" s="6"/>
      <c r="NH61" s="6"/>
      <c r="NI61" s="6"/>
      <c r="NJ61" s="6"/>
      <c r="NK61" s="6"/>
      <c r="NL61" s="6"/>
      <c r="NM61" s="6"/>
      <c r="NN61" s="6"/>
      <c r="NO61" s="6"/>
      <c r="NP61" s="6"/>
      <c r="NQ61" s="6"/>
      <c r="NR61" s="6"/>
      <c r="NS61" s="6"/>
      <c r="NT61" s="6"/>
      <c r="NU61" s="6"/>
      <c r="NV61" s="6"/>
      <c r="NW61" s="6"/>
      <c r="NX61" s="6"/>
      <c r="NY61" s="6"/>
      <c r="NZ61" s="6"/>
      <c r="OA61" s="6"/>
      <c r="OB61" s="6"/>
      <c r="OC61" s="6"/>
      <c r="OD61" s="6"/>
      <c r="OE61" s="6"/>
      <c r="OF61" s="6"/>
      <c r="OG61" s="6"/>
      <c r="OH61" s="6"/>
      <c r="OI61" s="6"/>
      <c r="OJ61" s="6"/>
      <c r="OK61" s="6"/>
      <c r="OL61" s="6"/>
      <c r="OM61" s="6"/>
      <c r="ON61" s="6"/>
      <c r="OO61" s="6"/>
      <c r="OP61" s="6"/>
      <c r="OQ61" s="6"/>
      <c r="OR61" s="6"/>
      <c r="OS61" s="6"/>
      <c r="OT61" s="6"/>
      <c r="OU61" s="6"/>
      <c r="OV61" s="6"/>
      <c r="OW61" s="6"/>
      <c r="OX61" s="6"/>
      <c r="OY61" s="6"/>
      <c r="OZ61" s="6"/>
      <c r="PA61" s="6"/>
      <c r="PB61" s="6"/>
      <c r="PC61" s="6"/>
      <c r="PD61" s="6"/>
      <c r="PE61" s="6"/>
      <c r="PF61" s="6"/>
      <c r="PG61" s="6"/>
      <c r="PH61" s="6"/>
      <c r="PI61" s="6"/>
      <c r="PJ61" s="6"/>
      <c r="PK61" s="6"/>
      <c r="PL61" s="6"/>
      <c r="PM61" s="6"/>
      <c r="PN61" s="6"/>
      <c r="PO61" s="6"/>
      <c r="PP61" s="6"/>
      <c r="PQ61" s="6"/>
      <c r="PR61" s="6"/>
      <c r="PS61" s="6"/>
      <c r="PT61" s="6"/>
      <c r="PU61" s="6"/>
      <c r="PV61" s="6"/>
      <c r="PW61" s="6"/>
      <c r="PX61" s="6"/>
    </row>
    <row r="62" spans="1:440" s="4" customFormat="1" ht="63">
      <c r="A62" s="27">
        <v>54</v>
      </c>
      <c r="B62" s="9" t="s">
        <v>120</v>
      </c>
      <c r="C62" s="7" t="s">
        <v>22</v>
      </c>
      <c r="D62" s="85" t="s">
        <v>281</v>
      </c>
      <c r="E62" s="85" t="s">
        <v>279</v>
      </c>
      <c r="F62" s="8" t="s">
        <v>116</v>
      </c>
      <c r="G62" s="10" t="s">
        <v>23</v>
      </c>
      <c r="H62" s="11">
        <v>1000</v>
      </c>
      <c r="I62" s="12">
        <f>60/1.12</f>
        <v>53.571428571428569</v>
      </c>
      <c r="J62" s="13">
        <f t="shared" si="4"/>
        <v>53571.428571428572</v>
      </c>
      <c r="K62" s="28" t="s">
        <v>206</v>
      </c>
      <c r="L62" s="7" t="s">
        <v>208</v>
      </c>
      <c r="M62" s="14" t="s">
        <v>15</v>
      </c>
      <c r="N62" s="15">
        <v>0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6"/>
      <c r="LN62" s="6"/>
      <c r="LO62" s="6"/>
      <c r="LP62" s="6"/>
      <c r="LQ62" s="6"/>
      <c r="LR62" s="6"/>
      <c r="LS62" s="6"/>
      <c r="LT62" s="6"/>
      <c r="LU62" s="6"/>
      <c r="LV62" s="6"/>
      <c r="LW62" s="6"/>
      <c r="LX62" s="6"/>
      <c r="LY62" s="6"/>
      <c r="LZ62" s="6"/>
      <c r="MA62" s="6"/>
      <c r="MB62" s="6"/>
      <c r="MC62" s="6"/>
      <c r="MD62" s="6"/>
      <c r="ME62" s="6"/>
      <c r="MF62" s="6"/>
      <c r="MG62" s="6"/>
      <c r="MH62" s="6"/>
      <c r="MI62" s="6"/>
      <c r="MJ62" s="6"/>
      <c r="MK62" s="6"/>
      <c r="ML62" s="6"/>
      <c r="MM62" s="6"/>
      <c r="MN62" s="6"/>
      <c r="MO62" s="6"/>
      <c r="MP62" s="6"/>
      <c r="MQ62" s="6"/>
      <c r="MR62" s="6"/>
      <c r="MS62" s="6"/>
      <c r="MT62" s="6"/>
      <c r="MU62" s="6"/>
      <c r="MV62" s="6"/>
      <c r="MW62" s="6"/>
      <c r="MX62" s="6"/>
      <c r="MY62" s="6"/>
      <c r="MZ62" s="6"/>
      <c r="NA62" s="6"/>
      <c r="NB62" s="6"/>
      <c r="NC62" s="6"/>
      <c r="ND62" s="6"/>
      <c r="NE62" s="6"/>
      <c r="NF62" s="6"/>
      <c r="NG62" s="6"/>
      <c r="NH62" s="6"/>
      <c r="NI62" s="6"/>
      <c r="NJ62" s="6"/>
      <c r="NK62" s="6"/>
      <c r="NL62" s="6"/>
      <c r="NM62" s="6"/>
      <c r="NN62" s="6"/>
      <c r="NO62" s="6"/>
      <c r="NP62" s="6"/>
      <c r="NQ62" s="6"/>
      <c r="NR62" s="6"/>
      <c r="NS62" s="6"/>
      <c r="NT62" s="6"/>
      <c r="NU62" s="6"/>
      <c r="NV62" s="6"/>
      <c r="NW62" s="6"/>
      <c r="NX62" s="6"/>
      <c r="NY62" s="6"/>
      <c r="NZ62" s="6"/>
      <c r="OA62" s="6"/>
      <c r="OB62" s="6"/>
      <c r="OC62" s="6"/>
      <c r="OD62" s="6"/>
      <c r="OE62" s="6"/>
      <c r="OF62" s="6"/>
      <c r="OG62" s="6"/>
      <c r="OH62" s="6"/>
      <c r="OI62" s="6"/>
      <c r="OJ62" s="6"/>
      <c r="OK62" s="6"/>
      <c r="OL62" s="6"/>
      <c r="OM62" s="6"/>
      <c r="ON62" s="6"/>
      <c r="OO62" s="6"/>
      <c r="OP62" s="6"/>
      <c r="OQ62" s="6"/>
      <c r="OR62" s="6"/>
      <c r="OS62" s="6"/>
      <c r="OT62" s="6"/>
      <c r="OU62" s="6"/>
      <c r="OV62" s="6"/>
      <c r="OW62" s="6"/>
      <c r="OX62" s="6"/>
      <c r="OY62" s="6"/>
      <c r="OZ62" s="6"/>
      <c r="PA62" s="6"/>
      <c r="PB62" s="6"/>
      <c r="PC62" s="6"/>
      <c r="PD62" s="6"/>
      <c r="PE62" s="6"/>
      <c r="PF62" s="6"/>
      <c r="PG62" s="6"/>
      <c r="PH62" s="6"/>
      <c r="PI62" s="6"/>
      <c r="PJ62" s="6"/>
      <c r="PK62" s="6"/>
      <c r="PL62" s="6"/>
      <c r="PM62" s="6"/>
      <c r="PN62" s="6"/>
      <c r="PO62" s="6"/>
      <c r="PP62" s="6"/>
      <c r="PQ62" s="6"/>
      <c r="PR62" s="6"/>
      <c r="PS62" s="6"/>
      <c r="PT62" s="6"/>
      <c r="PU62" s="6"/>
      <c r="PV62" s="6"/>
      <c r="PW62" s="6"/>
      <c r="PX62" s="6"/>
    </row>
    <row r="63" spans="1:440" s="4" customFormat="1" ht="63">
      <c r="A63" s="27">
        <v>55</v>
      </c>
      <c r="B63" s="9" t="s">
        <v>120</v>
      </c>
      <c r="C63" s="7" t="s">
        <v>22</v>
      </c>
      <c r="D63" s="85" t="s">
        <v>299</v>
      </c>
      <c r="E63" s="85" t="s">
        <v>298</v>
      </c>
      <c r="F63" s="8" t="s">
        <v>116</v>
      </c>
      <c r="G63" s="10" t="s">
        <v>23</v>
      </c>
      <c r="H63" s="11">
        <v>200</v>
      </c>
      <c r="I63" s="12">
        <f>1160/1.12</f>
        <v>1035.7142857142856</v>
      </c>
      <c r="J63" s="13">
        <f t="shared" si="4"/>
        <v>207142.8571428571</v>
      </c>
      <c r="K63" s="14" t="s">
        <v>208</v>
      </c>
      <c r="L63" s="7" t="s">
        <v>208</v>
      </c>
      <c r="M63" s="14" t="s">
        <v>15</v>
      </c>
      <c r="N63" s="15">
        <v>0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  <c r="KE63" s="6"/>
      <c r="KF63" s="6"/>
      <c r="KG63" s="6"/>
      <c r="KH63" s="6"/>
      <c r="KI63" s="6"/>
      <c r="KJ63" s="6"/>
      <c r="KK63" s="6"/>
      <c r="KL63" s="6"/>
      <c r="KM63" s="6"/>
      <c r="KN63" s="6"/>
      <c r="KO63" s="6"/>
      <c r="KP63" s="6"/>
      <c r="KQ63" s="6"/>
      <c r="KR63" s="6"/>
      <c r="KS63" s="6"/>
      <c r="KT63" s="6"/>
      <c r="KU63" s="6"/>
      <c r="KV63" s="6"/>
      <c r="KW63" s="6"/>
      <c r="KX63" s="6"/>
      <c r="KY63" s="6"/>
      <c r="KZ63" s="6"/>
      <c r="LA63" s="6"/>
      <c r="LB63" s="6"/>
      <c r="LC63" s="6"/>
      <c r="LD63" s="6"/>
      <c r="LE63" s="6"/>
      <c r="LF63" s="6"/>
      <c r="LG63" s="6"/>
      <c r="LH63" s="6"/>
      <c r="LI63" s="6"/>
      <c r="LJ63" s="6"/>
      <c r="LK63" s="6"/>
      <c r="LL63" s="6"/>
      <c r="LM63" s="6"/>
      <c r="LN63" s="6"/>
      <c r="LO63" s="6"/>
      <c r="LP63" s="6"/>
      <c r="LQ63" s="6"/>
      <c r="LR63" s="6"/>
      <c r="LS63" s="6"/>
      <c r="LT63" s="6"/>
      <c r="LU63" s="6"/>
      <c r="LV63" s="6"/>
      <c r="LW63" s="6"/>
      <c r="LX63" s="6"/>
      <c r="LY63" s="6"/>
      <c r="LZ63" s="6"/>
      <c r="MA63" s="6"/>
      <c r="MB63" s="6"/>
      <c r="MC63" s="6"/>
      <c r="MD63" s="6"/>
      <c r="ME63" s="6"/>
      <c r="MF63" s="6"/>
      <c r="MG63" s="6"/>
      <c r="MH63" s="6"/>
      <c r="MI63" s="6"/>
      <c r="MJ63" s="6"/>
      <c r="MK63" s="6"/>
      <c r="ML63" s="6"/>
      <c r="MM63" s="6"/>
      <c r="MN63" s="6"/>
      <c r="MO63" s="6"/>
      <c r="MP63" s="6"/>
      <c r="MQ63" s="6"/>
      <c r="MR63" s="6"/>
      <c r="MS63" s="6"/>
      <c r="MT63" s="6"/>
      <c r="MU63" s="6"/>
      <c r="MV63" s="6"/>
      <c r="MW63" s="6"/>
      <c r="MX63" s="6"/>
      <c r="MY63" s="6"/>
      <c r="MZ63" s="6"/>
      <c r="NA63" s="6"/>
      <c r="NB63" s="6"/>
      <c r="NC63" s="6"/>
      <c r="ND63" s="6"/>
      <c r="NE63" s="6"/>
      <c r="NF63" s="6"/>
      <c r="NG63" s="6"/>
      <c r="NH63" s="6"/>
      <c r="NI63" s="6"/>
      <c r="NJ63" s="6"/>
      <c r="NK63" s="6"/>
      <c r="NL63" s="6"/>
      <c r="NM63" s="6"/>
      <c r="NN63" s="6"/>
      <c r="NO63" s="6"/>
      <c r="NP63" s="6"/>
      <c r="NQ63" s="6"/>
      <c r="NR63" s="6"/>
      <c r="NS63" s="6"/>
      <c r="NT63" s="6"/>
      <c r="NU63" s="6"/>
      <c r="NV63" s="6"/>
      <c r="NW63" s="6"/>
      <c r="NX63" s="6"/>
      <c r="NY63" s="6"/>
      <c r="NZ63" s="6"/>
      <c r="OA63" s="6"/>
      <c r="OB63" s="6"/>
      <c r="OC63" s="6"/>
      <c r="OD63" s="6"/>
      <c r="OE63" s="6"/>
      <c r="OF63" s="6"/>
      <c r="OG63" s="6"/>
      <c r="OH63" s="6"/>
      <c r="OI63" s="6"/>
      <c r="OJ63" s="6"/>
      <c r="OK63" s="6"/>
      <c r="OL63" s="6"/>
      <c r="OM63" s="6"/>
      <c r="ON63" s="6"/>
      <c r="OO63" s="6"/>
      <c r="OP63" s="6"/>
      <c r="OQ63" s="6"/>
      <c r="OR63" s="6"/>
      <c r="OS63" s="6"/>
      <c r="OT63" s="6"/>
      <c r="OU63" s="6"/>
      <c r="OV63" s="6"/>
      <c r="OW63" s="6"/>
      <c r="OX63" s="6"/>
      <c r="OY63" s="6"/>
      <c r="OZ63" s="6"/>
      <c r="PA63" s="6"/>
      <c r="PB63" s="6"/>
      <c r="PC63" s="6"/>
      <c r="PD63" s="6"/>
      <c r="PE63" s="6"/>
      <c r="PF63" s="6"/>
      <c r="PG63" s="6"/>
      <c r="PH63" s="6"/>
      <c r="PI63" s="6"/>
      <c r="PJ63" s="6"/>
      <c r="PK63" s="6"/>
      <c r="PL63" s="6"/>
      <c r="PM63" s="6"/>
      <c r="PN63" s="6"/>
      <c r="PO63" s="6"/>
      <c r="PP63" s="6"/>
      <c r="PQ63" s="6"/>
      <c r="PR63" s="6"/>
      <c r="PS63" s="6"/>
      <c r="PT63" s="6"/>
      <c r="PU63" s="6"/>
      <c r="PV63" s="6"/>
      <c r="PW63" s="6"/>
      <c r="PX63" s="6"/>
    </row>
    <row r="64" spans="1:440" s="4" customFormat="1" ht="63">
      <c r="A64" s="27">
        <v>56</v>
      </c>
      <c r="B64" s="9" t="s">
        <v>120</v>
      </c>
      <c r="C64" s="7" t="s">
        <v>22</v>
      </c>
      <c r="D64" s="85" t="s">
        <v>332</v>
      </c>
      <c r="E64" s="85" t="s">
        <v>300</v>
      </c>
      <c r="F64" s="8" t="s">
        <v>116</v>
      </c>
      <c r="G64" s="10" t="s">
        <v>23</v>
      </c>
      <c r="H64" s="11">
        <v>50</v>
      </c>
      <c r="I64" s="12">
        <f>79.84/1.12</f>
        <v>71.285714285714278</v>
      </c>
      <c r="J64" s="13">
        <f t="shared" si="4"/>
        <v>3564.2857142857138</v>
      </c>
      <c r="K64" s="14" t="s">
        <v>208</v>
      </c>
      <c r="L64" s="7" t="s">
        <v>208</v>
      </c>
      <c r="M64" s="14" t="s">
        <v>15</v>
      </c>
      <c r="N64" s="15">
        <v>0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6"/>
      <c r="NI64" s="6"/>
      <c r="NJ64" s="6"/>
      <c r="NK64" s="6"/>
      <c r="NL64" s="6"/>
      <c r="NM64" s="6"/>
      <c r="NN64" s="6"/>
      <c r="NO64" s="6"/>
      <c r="NP64" s="6"/>
      <c r="NQ64" s="6"/>
      <c r="NR64" s="6"/>
      <c r="NS64" s="6"/>
      <c r="NT64" s="6"/>
      <c r="NU64" s="6"/>
      <c r="NV64" s="6"/>
      <c r="NW64" s="6"/>
      <c r="NX64" s="6"/>
      <c r="NY64" s="6"/>
      <c r="NZ64" s="6"/>
      <c r="OA64" s="6"/>
      <c r="OB64" s="6"/>
      <c r="OC64" s="6"/>
      <c r="OD64" s="6"/>
      <c r="OE64" s="6"/>
      <c r="OF64" s="6"/>
      <c r="OG64" s="6"/>
      <c r="OH64" s="6"/>
      <c r="OI64" s="6"/>
      <c r="OJ64" s="6"/>
      <c r="OK64" s="6"/>
      <c r="OL64" s="6"/>
      <c r="OM64" s="6"/>
      <c r="ON64" s="6"/>
      <c r="OO64" s="6"/>
      <c r="OP64" s="6"/>
      <c r="OQ64" s="6"/>
      <c r="OR64" s="6"/>
      <c r="OS64" s="6"/>
      <c r="OT64" s="6"/>
      <c r="OU64" s="6"/>
      <c r="OV64" s="6"/>
      <c r="OW64" s="6"/>
      <c r="OX64" s="6"/>
      <c r="OY64" s="6"/>
      <c r="OZ64" s="6"/>
      <c r="PA64" s="6"/>
      <c r="PB64" s="6"/>
      <c r="PC64" s="6"/>
      <c r="PD64" s="6"/>
      <c r="PE64" s="6"/>
      <c r="PF64" s="6"/>
      <c r="PG64" s="6"/>
      <c r="PH64" s="6"/>
      <c r="PI64" s="6"/>
      <c r="PJ64" s="6"/>
      <c r="PK64" s="6"/>
      <c r="PL64" s="6"/>
      <c r="PM64" s="6"/>
      <c r="PN64" s="6"/>
      <c r="PO64" s="6"/>
      <c r="PP64" s="6"/>
      <c r="PQ64" s="6"/>
      <c r="PR64" s="6"/>
      <c r="PS64" s="6"/>
      <c r="PT64" s="6"/>
      <c r="PU64" s="6"/>
      <c r="PV64" s="6"/>
      <c r="PW64" s="6"/>
      <c r="PX64" s="6"/>
    </row>
    <row r="65" spans="1:440" s="4" customFormat="1" ht="63">
      <c r="A65" s="27">
        <v>57</v>
      </c>
      <c r="B65" s="9" t="s">
        <v>120</v>
      </c>
      <c r="C65" s="7" t="s">
        <v>22</v>
      </c>
      <c r="D65" s="85" t="s">
        <v>106</v>
      </c>
      <c r="E65" s="85" t="s">
        <v>106</v>
      </c>
      <c r="F65" s="8" t="s">
        <v>116</v>
      </c>
      <c r="G65" s="10" t="s">
        <v>23</v>
      </c>
      <c r="H65" s="11">
        <v>20</v>
      </c>
      <c r="I65" s="12">
        <f>158/1.12</f>
        <v>141.07142857142856</v>
      </c>
      <c r="J65" s="13">
        <f t="shared" si="2"/>
        <v>2821.4285714285711</v>
      </c>
      <c r="K65" s="14" t="s">
        <v>208</v>
      </c>
      <c r="L65" s="7" t="s">
        <v>208</v>
      </c>
      <c r="M65" s="14" t="s">
        <v>15</v>
      </c>
      <c r="N65" s="15">
        <v>0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6"/>
      <c r="KN65" s="6"/>
      <c r="KO65" s="6"/>
      <c r="KP65" s="6"/>
      <c r="KQ65" s="6"/>
      <c r="KR65" s="6"/>
      <c r="KS65" s="6"/>
      <c r="KT65" s="6"/>
      <c r="KU65" s="6"/>
      <c r="KV65" s="6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6"/>
      <c r="MP65" s="6"/>
      <c r="MQ65" s="6"/>
      <c r="MR65" s="6"/>
      <c r="MS65" s="6"/>
      <c r="MT65" s="6"/>
      <c r="MU65" s="6"/>
      <c r="MV65" s="6"/>
      <c r="MW65" s="6"/>
      <c r="MX65" s="6"/>
      <c r="MY65" s="6"/>
      <c r="MZ65" s="6"/>
      <c r="NA65" s="6"/>
      <c r="NB65" s="6"/>
      <c r="NC65" s="6"/>
      <c r="ND65" s="6"/>
      <c r="NE65" s="6"/>
      <c r="NF65" s="6"/>
      <c r="NG65" s="6"/>
      <c r="NH65" s="6"/>
      <c r="NI65" s="6"/>
      <c r="NJ65" s="6"/>
      <c r="NK65" s="6"/>
      <c r="NL65" s="6"/>
      <c r="NM65" s="6"/>
      <c r="NN65" s="6"/>
      <c r="NO65" s="6"/>
      <c r="NP65" s="6"/>
      <c r="NQ65" s="6"/>
      <c r="NR65" s="6"/>
      <c r="NS65" s="6"/>
      <c r="NT65" s="6"/>
      <c r="NU65" s="6"/>
      <c r="NV65" s="6"/>
      <c r="NW65" s="6"/>
      <c r="NX65" s="6"/>
      <c r="NY65" s="6"/>
      <c r="NZ65" s="6"/>
      <c r="OA65" s="6"/>
      <c r="OB65" s="6"/>
      <c r="OC65" s="6"/>
      <c r="OD65" s="6"/>
      <c r="OE65" s="6"/>
      <c r="OF65" s="6"/>
      <c r="OG65" s="6"/>
      <c r="OH65" s="6"/>
      <c r="OI65" s="6"/>
      <c r="OJ65" s="6"/>
      <c r="OK65" s="6"/>
      <c r="OL65" s="6"/>
      <c r="OM65" s="6"/>
      <c r="ON65" s="6"/>
      <c r="OO65" s="6"/>
      <c r="OP65" s="6"/>
      <c r="OQ65" s="6"/>
      <c r="OR65" s="6"/>
      <c r="OS65" s="6"/>
      <c r="OT65" s="6"/>
      <c r="OU65" s="6"/>
      <c r="OV65" s="6"/>
      <c r="OW65" s="6"/>
      <c r="OX65" s="6"/>
      <c r="OY65" s="6"/>
      <c r="OZ65" s="6"/>
      <c r="PA65" s="6"/>
      <c r="PB65" s="6"/>
      <c r="PC65" s="6"/>
      <c r="PD65" s="6"/>
      <c r="PE65" s="6"/>
      <c r="PF65" s="6"/>
      <c r="PG65" s="6"/>
      <c r="PH65" s="6"/>
      <c r="PI65" s="6"/>
      <c r="PJ65" s="6"/>
      <c r="PK65" s="6"/>
      <c r="PL65" s="6"/>
      <c r="PM65" s="6"/>
      <c r="PN65" s="6"/>
      <c r="PO65" s="6"/>
      <c r="PP65" s="6"/>
      <c r="PQ65" s="6"/>
      <c r="PR65" s="6"/>
      <c r="PS65" s="6"/>
      <c r="PT65" s="6"/>
      <c r="PU65" s="6"/>
      <c r="PV65" s="6"/>
      <c r="PW65" s="6"/>
      <c r="PX65" s="6"/>
    </row>
    <row r="66" spans="1:440" s="4" customFormat="1" ht="63">
      <c r="A66" s="27">
        <v>58</v>
      </c>
      <c r="B66" s="9" t="s">
        <v>120</v>
      </c>
      <c r="C66" s="7" t="s">
        <v>22</v>
      </c>
      <c r="D66" s="85" t="s">
        <v>250</v>
      </c>
      <c r="E66" s="85" t="s">
        <v>228</v>
      </c>
      <c r="F66" s="8" t="s">
        <v>116</v>
      </c>
      <c r="G66" s="10" t="s">
        <v>23</v>
      </c>
      <c r="H66" s="11">
        <v>50</v>
      </c>
      <c r="I66" s="12">
        <f>160/1.12</f>
        <v>142.85714285714283</v>
      </c>
      <c r="J66" s="13">
        <f t="shared" si="2"/>
        <v>7142.8571428571413</v>
      </c>
      <c r="K66" s="14" t="s">
        <v>208</v>
      </c>
      <c r="L66" s="7" t="s">
        <v>208</v>
      </c>
      <c r="M66" s="14" t="s">
        <v>15</v>
      </c>
      <c r="N66" s="15">
        <v>0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6"/>
      <c r="KN66" s="6"/>
      <c r="KO66" s="6"/>
      <c r="KP66" s="6"/>
      <c r="KQ66" s="6"/>
      <c r="KR66" s="6"/>
      <c r="KS66" s="6"/>
      <c r="KT66" s="6"/>
      <c r="KU66" s="6"/>
      <c r="KV66" s="6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6"/>
      <c r="MP66" s="6"/>
      <c r="MQ66" s="6"/>
      <c r="MR66" s="6"/>
      <c r="MS66" s="6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  <c r="NG66" s="6"/>
      <c r="NH66" s="6"/>
      <c r="NI66" s="6"/>
      <c r="NJ66" s="6"/>
      <c r="NK66" s="6"/>
      <c r="NL66" s="6"/>
      <c r="NM66" s="6"/>
      <c r="NN66" s="6"/>
      <c r="NO66" s="6"/>
      <c r="NP66" s="6"/>
      <c r="NQ66" s="6"/>
      <c r="NR66" s="6"/>
      <c r="NS66" s="6"/>
      <c r="NT66" s="6"/>
      <c r="NU66" s="6"/>
      <c r="NV66" s="6"/>
      <c r="NW66" s="6"/>
      <c r="NX66" s="6"/>
      <c r="NY66" s="6"/>
      <c r="NZ66" s="6"/>
      <c r="OA66" s="6"/>
      <c r="OB66" s="6"/>
      <c r="OC66" s="6"/>
      <c r="OD66" s="6"/>
      <c r="OE66" s="6"/>
      <c r="OF66" s="6"/>
      <c r="OG66" s="6"/>
      <c r="OH66" s="6"/>
      <c r="OI66" s="6"/>
      <c r="OJ66" s="6"/>
      <c r="OK66" s="6"/>
      <c r="OL66" s="6"/>
      <c r="OM66" s="6"/>
      <c r="ON66" s="6"/>
      <c r="OO66" s="6"/>
      <c r="OP66" s="6"/>
      <c r="OQ66" s="6"/>
      <c r="OR66" s="6"/>
      <c r="OS66" s="6"/>
      <c r="OT66" s="6"/>
      <c r="OU66" s="6"/>
      <c r="OV66" s="6"/>
      <c r="OW66" s="6"/>
      <c r="OX66" s="6"/>
      <c r="OY66" s="6"/>
      <c r="OZ66" s="6"/>
      <c r="PA66" s="6"/>
      <c r="PB66" s="6"/>
      <c r="PC66" s="6"/>
      <c r="PD66" s="6"/>
      <c r="PE66" s="6"/>
      <c r="PF66" s="6"/>
      <c r="PG66" s="6"/>
      <c r="PH66" s="6"/>
      <c r="PI66" s="6"/>
      <c r="PJ66" s="6"/>
      <c r="PK66" s="6"/>
      <c r="PL66" s="6"/>
      <c r="PM66" s="6"/>
      <c r="PN66" s="6"/>
      <c r="PO66" s="6"/>
      <c r="PP66" s="6"/>
      <c r="PQ66" s="6"/>
      <c r="PR66" s="6"/>
      <c r="PS66" s="6"/>
      <c r="PT66" s="6"/>
      <c r="PU66" s="6"/>
      <c r="PV66" s="6"/>
      <c r="PW66" s="6"/>
      <c r="PX66" s="6"/>
    </row>
    <row r="67" spans="1:440" s="4" customFormat="1" ht="63">
      <c r="A67" s="27">
        <v>59</v>
      </c>
      <c r="B67" s="9" t="s">
        <v>120</v>
      </c>
      <c r="C67" s="7" t="s">
        <v>22</v>
      </c>
      <c r="D67" s="85" t="s">
        <v>249</v>
      </c>
      <c r="E67" s="85" t="s">
        <v>161</v>
      </c>
      <c r="F67" s="8" t="s">
        <v>116</v>
      </c>
      <c r="G67" s="10" t="s">
        <v>23</v>
      </c>
      <c r="H67" s="11">
        <v>50</v>
      </c>
      <c r="I67" s="12">
        <f>260/1.12</f>
        <v>232.14285714285711</v>
      </c>
      <c r="J67" s="13">
        <f t="shared" si="2"/>
        <v>11607.142857142855</v>
      </c>
      <c r="K67" s="14" t="s">
        <v>208</v>
      </c>
      <c r="L67" s="7" t="s">
        <v>208</v>
      </c>
      <c r="M67" s="14" t="s">
        <v>15</v>
      </c>
      <c r="N67" s="15">
        <v>0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6"/>
      <c r="NH67" s="6"/>
      <c r="NI67" s="6"/>
      <c r="NJ67" s="6"/>
      <c r="NK67" s="6"/>
      <c r="NL67" s="6"/>
      <c r="NM67" s="6"/>
      <c r="NN67" s="6"/>
      <c r="NO67" s="6"/>
      <c r="NP67" s="6"/>
      <c r="NQ67" s="6"/>
      <c r="NR67" s="6"/>
      <c r="NS67" s="6"/>
      <c r="NT67" s="6"/>
      <c r="NU67" s="6"/>
      <c r="NV67" s="6"/>
      <c r="NW67" s="6"/>
      <c r="NX67" s="6"/>
      <c r="NY67" s="6"/>
      <c r="NZ67" s="6"/>
      <c r="OA67" s="6"/>
      <c r="OB67" s="6"/>
      <c r="OC67" s="6"/>
      <c r="OD67" s="6"/>
      <c r="OE67" s="6"/>
      <c r="OF67" s="6"/>
      <c r="OG67" s="6"/>
      <c r="OH67" s="6"/>
      <c r="OI67" s="6"/>
      <c r="OJ67" s="6"/>
      <c r="OK67" s="6"/>
      <c r="OL67" s="6"/>
      <c r="OM67" s="6"/>
      <c r="ON67" s="6"/>
      <c r="OO67" s="6"/>
      <c r="OP67" s="6"/>
      <c r="OQ67" s="6"/>
      <c r="OR67" s="6"/>
      <c r="OS67" s="6"/>
      <c r="OT67" s="6"/>
      <c r="OU67" s="6"/>
      <c r="OV67" s="6"/>
      <c r="OW67" s="6"/>
      <c r="OX67" s="6"/>
      <c r="OY67" s="6"/>
      <c r="OZ67" s="6"/>
      <c r="PA67" s="6"/>
      <c r="PB67" s="6"/>
      <c r="PC67" s="6"/>
      <c r="PD67" s="6"/>
      <c r="PE67" s="6"/>
      <c r="PF67" s="6"/>
      <c r="PG67" s="6"/>
      <c r="PH67" s="6"/>
      <c r="PI67" s="6"/>
      <c r="PJ67" s="6"/>
      <c r="PK67" s="6"/>
      <c r="PL67" s="6"/>
      <c r="PM67" s="6"/>
      <c r="PN67" s="6"/>
      <c r="PO67" s="6"/>
      <c r="PP67" s="6"/>
      <c r="PQ67" s="6"/>
      <c r="PR67" s="6"/>
      <c r="PS67" s="6"/>
      <c r="PT67" s="6"/>
      <c r="PU67" s="6"/>
      <c r="PV67" s="6"/>
      <c r="PW67" s="6"/>
      <c r="PX67" s="6"/>
    </row>
    <row r="68" spans="1:440" s="4" customFormat="1" ht="63">
      <c r="A68" s="27">
        <v>60</v>
      </c>
      <c r="B68" s="9" t="s">
        <v>120</v>
      </c>
      <c r="C68" s="7" t="s">
        <v>22</v>
      </c>
      <c r="D68" s="85" t="s">
        <v>251</v>
      </c>
      <c r="E68" s="85" t="s">
        <v>229</v>
      </c>
      <c r="F68" s="8" t="s">
        <v>116</v>
      </c>
      <c r="G68" s="10" t="s">
        <v>23</v>
      </c>
      <c r="H68" s="11">
        <v>50</v>
      </c>
      <c r="I68" s="12">
        <f>125/1.12</f>
        <v>111.60714285714285</v>
      </c>
      <c r="J68" s="13">
        <f t="shared" si="2"/>
        <v>5580.3571428571422</v>
      </c>
      <c r="K68" s="14" t="s">
        <v>208</v>
      </c>
      <c r="L68" s="7" t="s">
        <v>208</v>
      </c>
      <c r="M68" s="14" t="s">
        <v>15</v>
      </c>
      <c r="N68" s="15">
        <v>0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6"/>
      <c r="NH68" s="6"/>
      <c r="NI68" s="6"/>
      <c r="NJ68" s="6"/>
      <c r="NK68" s="6"/>
      <c r="NL68" s="6"/>
      <c r="NM68" s="6"/>
      <c r="NN68" s="6"/>
      <c r="NO68" s="6"/>
      <c r="NP68" s="6"/>
      <c r="NQ68" s="6"/>
      <c r="NR68" s="6"/>
      <c r="NS68" s="6"/>
      <c r="NT68" s="6"/>
      <c r="NU68" s="6"/>
      <c r="NV68" s="6"/>
      <c r="NW68" s="6"/>
      <c r="NX68" s="6"/>
      <c r="NY68" s="6"/>
      <c r="NZ68" s="6"/>
      <c r="OA68" s="6"/>
      <c r="OB68" s="6"/>
      <c r="OC68" s="6"/>
      <c r="OD68" s="6"/>
      <c r="OE68" s="6"/>
      <c r="OF68" s="6"/>
      <c r="OG68" s="6"/>
      <c r="OH68" s="6"/>
      <c r="OI68" s="6"/>
      <c r="OJ68" s="6"/>
      <c r="OK68" s="6"/>
      <c r="OL68" s="6"/>
      <c r="OM68" s="6"/>
      <c r="ON68" s="6"/>
      <c r="OO68" s="6"/>
      <c r="OP68" s="6"/>
      <c r="OQ68" s="6"/>
      <c r="OR68" s="6"/>
      <c r="OS68" s="6"/>
      <c r="OT68" s="6"/>
      <c r="OU68" s="6"/>
      <c r="OV68" s="6"/>
      <c r="OW68" s="6"/>
      <c r="OX68" s="6"/>
      <c r="OY68" s="6"/>
      <c r="OZ68" s="6"/>
      <c r="PA68" s="6"/>
      <c r="PB68" s="6"/>
      <c r="PC68" s="6"/>
      <c r="PD68" s="6"/>
      <c r="PE68" s="6"/>
      <c r="PF68" s="6"/>
      <c r="PG68" s="6"/>
      <c r="PH68" s="6"/>
      <c r="PI68" s="6"/>
      <c r="PJ68" s="6"/>
      <c r="PK68" s="6"/>
      <c r="PL68" s="6"/>
      <c r="PM68" s="6"/>
      <c r="PN68" s="6"/>
      <c r="PO68" s="6"/>
      <c r="PP68" s="6"/>
      <c r="PQ68" s="6"/>
      <c r="PR68" s="6"/>
      <c r="PS68" s="6"/>
      <c r="PT68" s="6"/>
      <c r="PU68" s="6"/>
      <c r="PV68" s="6"/>
      <c r="PW68" s="6"/>
      <c r="PX68" s="6"/>
    </row>
    <row r="69" spans="1:440" s="4" customFormat="1" ht="63">
      <c r="A69" s="27">
        <v>61</v>
      </c>
      <c r="B69" s="9" t="s">
        <v>120</v>
      </c>
      <c r="C69" s="7" t="s">
        <v>22</v>
      </c>
      <c r="D69" s="85" t="s">
        <v>252</v>
      </c>
      <c r="E69" s="85" t="s">
        <v>230</v>
      </c>
      <c r="F69" s="8" t="s">
        <v>116</v>
      </c>
      <c r="G69" s="10" t="s">
        <v>23</v>
      </c>
      <c r="H69" s="11">
        <v>50</v>
      </c>
      <c r="I69" s="12">
        <f>205/1.12</f>
        <v>183.03571428571428</v>
      </c>
      <c r="J69" s="13">
        <f t="shared" si="2"/>
        <v>9151.7857142857138</v>
      </c>
      <c r="K69" s="14" t="s">
        <v>208</v>
      </c>
      <c r="L69" s="7" t="s">
        <v>208</v>
      </c>
      <c r="M69" s="14" t="s">
        <v>15</v>
      </c>
      <c r="N69" s="15">
        <v>0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6"/>
      <c r="NH69" s="6"/>
      <c r="NI69" s="6"/>
      <c r="NJ69" s="6"/>
      <c r="NK69" s="6"/>
      <c r="NL69" s="6"/>
      <c r="NM69" s="6"/>
      <c r="NN69" s="6"/>
      <c r="NO69" s="6"/>
      <c r="NP69" s="6"/>
      <c r="NQ69" s="6"/>
      <c r="NR69" s="6"/>
      <c r="NS69" s="6"/>
      <c r="NT69" s="6"/>
      <c r="NU69" s="6"/>
      <c r="NV69" s="6"/>
      <c r="NW69" s="6"/>
      <c r="NX69" s="6"/>
      <c r="NY69" s="6"/>
      <c r="NZ69" s="6"/>
      <c r="OA69" s="6"/>
      <c r="OB69" s="6"/>
      <c r="OC69" s="6"/>
      <c r="OD69" s="6"/>
      <c r="OE69" s="6"/>
      <c r="OF69" s="6"/>
      <c r="OG69" s="6"/>
      <c r="OH69" s="6"/>
      <c r="OI69" s="6"/>
      <c r="OJ69" s="6"/>
      <c r="OK69" s="6"/>
      <c r="OL69" s="6"/>
      <c r="OM69" s="6"/>
      <c r="ON69" s="6"/>
      <c r="OO69" s="6"/>
      <c r="OP69" s="6"/>
      <c r="OQ69" s="6"/>
      <c r="OR69" s="6"/>
      <c r="OS69" s="6"/>
      <c r="OT69" s="6"/>
      <c r="OU69" s="6"/>
      <c r="OV69" s="6"/>
      <c r="OW69" s="6"/>
      <c r="OX69" s="6"/>
      <c r="OY69" s="6"/>
      <c r="OZ69" s="6"/>
      <c r="PA69" s="6"/>
      <c r="PB69" s="6"/>
      <c r="PC69" s="6"/>
      <c r="PD69" s="6"/>
      <c r="PE69" s="6"/>
      <c r="PF69" s="6"/>
      <c r="PG69" s="6"/>
      <c r="PH69" s="6"/>
      <c r="PI69" s="6"/>
      <c r="PJ69" s="6"/>
      <c r="PK69" s="6"/>
      <c r="PL69" s="6"/>
      <c r="PM69" s="6"/>
      <c r="PN69" s="6"/>
      <c r="PO69" s="6"/>
      <c r="PP69" s="6"/>
      <c r="PQ69" s="6"/>
      <c r="PR69" s="6"/>
      <c r="PS69" s="6"/>
      <c r="PT69" s="6"/>
      <c r="PU69" s="6"/>
      <c r="PV69" s="6"/>
      <c r="PW69" s="6"/>
      <c r="PX69" s="6"/>
    </row>
    <row r="70" spans="1:440" s="4" customFormat="1" ht="63">
      <c r="A70" s="27">
        <v>62</v>
      </c>
      <c r="B70" s="9" t="s">
        <v>120</v>
      </c>
      <c r="C70" s="7" t="s">
        <v>22</v>
      </c>
      <c r="D70" s="85" t="s">
        <v>253</v>
      </c>
      <c r="E70" s="85" t="s">
        <v>231</v>
      </c>
      <c r="F70" s="8" t="s">
        <v>116</v>
      </c>
      <c r="G70" s="10" t="s">
        <v>23</v>
      </c>
      <c r="H70" s="11">
        <v>10</v>
      </c>
      <c r="I70" s="12">
        <f>640/1.12</f>
        <v>571.42857142857133</v>
      </c>
      <c r="J70" s="13">
        <f t="shared" si="2"/>
        <v>5714.2857142857138</v>
      </c>
      <c r="K70" s="14" t="s">
        <v>208</v>
      </c>
      <c r="L70" s="7" t="s">
        <v>208</v>
      </c>
      <c r="M70" s="14" t="s">
        <v>15</v>
      </c>
      <c r="N70" s="15">
        <v>0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6"/>
      <c r="NH70" s="6"/>
      <c r="NI70" s="6"/>
      <c r="NJ70" s="6"/>
      <c r="NK70" s="6"/>
      <c r="NL70" s="6"/>
      <c r="NM70" s="6"/>
      <c r="NN70" s="6"/>
      <c r="NO70" s="6"/>
      <c r="NP70" s="6"/>
      <c r="NQ70" s="6"/>
      <c r="NR70" s="6"/>
      <c r="NS70" s="6"/>
      <c r="NT70" s="6"/>
      <c r="NU70" s="6"/>
      <c r="NV70" s="6"/>
      <c r="NW70" s="6"/>
      <c r="NX70" s="6"/>
      <c r="NY70" s="6"/>
      <c r="NZ70" s="6"/>
      <c r="OA70" s="6"/>
      <c r="OB70" s="6"/>
      <c r="OC70" s="6"/>
      <c r="OD70" s="6"/>
      <c r="OE70" s="6"/>
      <c r="OF70" s="6"/>
      <c r="OG70" s="6"/>
      <c r="OH70" s="6"/>
      <c r="OI70" s="6"/>
      <c r="OJ70" s="6"/>
      <c r="OK70" s="6"/>
      <c r="OL70" s="6"/>
      <c r="OM70" s="6"/>
      <c r="ON70" s="6"/>
      <c r="OO70" s="6"/>
      <c r="OP70" s="6"/>
      <c r="OQ70" s="6"/>
      <c r="OR70" s="6"/>
      <c r="OS70" s="6"/>
      <c r="OT70" s="6"/>
      <c r="OU70" s="6"/>
      <c r="OV70" s="6"/>
      <c r="OW70" s="6"/>
      <c r="OX70" s="6"/>
      <c r="OY70" s="6"/>
      <c r="OZ70" s="6"/>
      <c r="PA70" s="6"/>
      <c r="PB70" s="6"/>
      <c r="PC70" s="6"/>
      <c r="PD70" s="6"/>
      <c r="PE70" s="6"/>
      <c r="PF70" s="6"/>
      <c r="PG70" s="6"/>
      <c r="PH70" s="6"/>
      <c r="PI70" s="6"/>
      <c r="PJ70" s="6"/>
      <c r="PK70" s="6"/>
      <c r="PL70" s="6"/>
      <c r="PM70" s="6"/>
      <c r="PN70" s="6"/>
      <c r="PO70" s="6"/>
      <c r="PP70" s="6"/>
      <c r="PQ70" s="6"/>
      <c r="PR70" s="6"/>
      <c r="PS70" s="6"/>
      <c r="PT70" s="6"/>
      <c r="PU70" s="6"/>
      <c r="PV70" s="6"/>
      <c r="PW70" s="6"/>
      <c r="PX70" s="6"/>
    </row>
    <row r="71" spans="1:440" s="4" customFormat="1" ht="63">
      <c r="A71" s="27">
        <v>63</v>
      </c>
      <c r="B71" s="9" t="s">
        <v>120</v>
      </c>
      <c r="C71" s="7" t="s">
        <v>22</v>
      </c>
      <c r="D71" s="85" t="s">
        <v>254</v>
      </c>
      <c r="E71" s="85" t="s">
        <v>162</v>
      </c>
      <c r="F71" s="8" t="s">
        <v>116</v>
      </c>
      <c r="G71" s="10" t="s">
        <v>23</v>
      </c>
      <c r="H71" s="11">
        <v>50</v>
      </c>
      <c r="I71" s="12">
        <f>2660/1.12</f>
        <v>2375</v>
      </c>
      <c r="J71" s="13">
        <f t="shared" si="2"/>
        <v>118750</v>
      </c>
      <c r="K71" s="28" t="s">
        <v>206</v>
      </c>
      <c r="L71" s="7" t="s">
        <v>206</v>
      </c>
      <c r="M71" s="14" t="s">
        <v>15</v>
      </c>
      <c r="N71" s="15">
        <v>0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6"/>
      <c r="NH71" s="6"/>
      <c r="NI71" s="6"/>
      <c r="NJ71" s="6"/>
      <c r="NK71" s="6"/>
      <c r="NL71" s="6"/>
      <c r="NM71" s="6"/>
      <c r="NN71" s="6"/>
      <c r="NO71" s="6"/>
      <c r="NP71" s="6"/>
      <c r="NQ71" s="6"/>
      <c r="NR71" s="6"/>
      <c r="NS71" s="6"/>
      <c r="NT71" s="6"/>
      <c r="NU71" s="6"/>
      <c r="NV71" s="6"/>
      <c r="NW71" s="6"/>
      <c r="NX71" s="6"/>
      <c r="NY71" s="6"/>
      <c r="NZ71" s="6"/>
      <c r="OA71" s="6"/>
      <c r="OB71" s="6"/>
      <c r="OC71" s="6"/>
      <c r="OD71" s="6"/>
      <c r="OE71" s="6"/>
      <c r="OF71" s="6"/>
      <c r="OG71" s="6"/>
      <c r="OH71" s="6"/>
      <c r="OI71" s="6"/>
      <c r="OJ71" s="6"/>
      <c r="OK71" s="6"/>
      <c r="OL71" s="6"/>
      <c r="OM71" s="6"/>
      <c r="ON71" s="6"/>
      <c r="OO71" s="6"/>
      <c r="OP71" s="6"/>
      <c r="OQ71" s="6"/>
      <c r="OR71" s="6"/>
      <c r="OS71" s="6"/>
      <c r="OT71" s="6"/>
      <c r="OU71" s="6"/>
      <c r="OV71" s="6"/>
      <c r="OW71" s="6"/>
      <c r="OX71" s="6"/>
      <c r="OY71" s="6"/>
      <c r="OZ71" s="6"/>
      <c r="PA71" s="6"/>
      <c r="PB71" s="6"/>
      <c r="PC71" s="6"/>
      <c r="PD71" s="6"/>
      <c r="PE71" s="6"/>
      <c r="PF71" s="6"/>
      <c r="PG71" s="6"/>
      <c r="PH71" s="6"/>
      <c r="PI71" s="6"/>
      <c r="PJ71" s="6"/>
      <c r="PK71" s="6"/>
      <c r="PL71" s="6"/>
      <c r="PM71" s="6"/>
      <c r="PN71" s="6"/>
      <c r="PO71" s="6"/>
      <c r="PP71" s="6"/>
      <c r="PQ71" s="6"/>
      <c r="PR71" s="6"/>
      <c r="PS71" s="6"/>
      <c r="PT71" s="6"/>
      <c r="PU71" s="6"/>
      <c r="PV71" s="6"/>
      <c r="PW71" s="6"/>
      <c r="PX71" s="6"/>
    </row>
    <row r="72" spans="1:440" s="4" customFormat="1" ht="63">
      <c r="A72" s="27">
        <v>64</v>
      </c>
      <c r="B72" s="9" t="s">
        <v>120</v>
      </c>
      <c r="C72" s="7" t="s">
        <v>22</v>
      </c>
      <c r="D72" s="85" t="s">
        <v>255</v>
      </c>
      <c r="E72" s="85" t="s">
        <v>232</v>
      </c>
      <c r="F72" s="8" t="s">
        <v>116</v>
      </c>
      <c r="G72" s="10" t="s">
        <v>23</v>
      </c>
      <c r="H72" s="11">
        <v>50</v>
      </c>
      <c r="I72" s="12">
        <f>129/1.12</f>
        <v>115.17857142857142</v>
      </c>
      <c r="J72" s="13">
        <f t="shared" si="2"/>
        <v>5758.9285714285706</v>
      </c>
      <c r="K72" s="14" t="s">
        <v>208</v>
      </c>
      <c r="L72" s="7" t="s">
        <v>208</v>
      </c>
      <c r="M72" s="14" t="s">
        <v>15</v>
      </c>
      <c r="N72" s="15">
        <v>0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6"/>
      <c r="NH72" s="6"/>
      <c r="NI72" s="6"/>
      <c r="NJ72" s="6"/>
      <c r="NK72" s="6"/>
      <c r="NL72" s="6"/>
      <c r="NM72" s="6"/>
      <c r="NN72" s="6"/>
      <c r="NO72" s="6"/>
      <c r="NP72" s="6"/>
      <c r="NQ72" s="6"/>
      <c r="NR72" s="6"/>
      <c r="NS72" s="6"/>
      <c r="NT72" s="6"/>
      <c r="NU72" s="6"/>
      <c r="NV72" s="6"/>
      <c r="NW72" s="6"/>
      <c r="NX72" s="6"/>
      <c r="NY72" s="6"/>
      <c r="NZ72" s="6"/>
      <c r="OA72" s="6"/>
      <c r="OB72" s="6"/>
      <c r="OC72" s="6"/>
      <c r="OD72" s="6"/>
      <c r="OE72" s="6"/>
      <c r="OF72" s="6"/>
      <c r="OG72" s="6"/>
      <c r="OH72" s="6"/>
      <c r="OI72" s="6"/>
      <c r="OJ72" s="6"/>
      <c r="OK72" s="6"/>
      <c r="OL72" s="6"/>
      <c r="OM72" s="6"/>
      <c r="ON72" s="6"/>
      <c r="OO72" s="6"/>
      <c r="OP72" s="6"/>
      <c r="OQ72" s="6"/>
      <c r="OR72" s="6"/>
      <c r="OS72" s="6"/>
      <c r="OT72" s="6"/>
      <c r="OU72" s="6"/>
      <c r="OV72" s="6"/>
      <c r="OW72" s="6"/>
      <c r="OX72" s="6"/>
      <c r="OY72" s="6"/>
      <c r="OZ72" s="6"/>
      <c r="PA72" s="6"/>
      <c r="PB72" s="6"/>
      <c r="PC72" s="6"/>
      <c r="PD72" s="6"/>
      <c r="PE72" s="6"/>
      <c r="PF72" s="6"/>
      <c r="PG72" s="6"/>
      <c r="PH72" s="6"/>
      <c r="PI72" s="6"/>
      <c r="PJ72" s="6"/>
      <c r="PK72" s="6"/>
      <c r="PL72" s="6"/>
      <c r="PM72" s="6"/>
      <c r="PN72" s="6"/>
      <c r="PO72" s="6"/>
      <c r="PP72" s="6"/>
      <c r="PQ72" s="6"/>
      <c r="PR72" s="6"/>
      <c r="PS72" s="6"/>
      <c r="PT72" s="6"/>
      <c r="PU72" s="6"/>
      <c r="PV72" s="6"/>
      <c r="PW72" s="6"/>
      <c r="PX72" s="6"/>
    </row>
    <row r="73" spans="1:440" s="4" customFormat="1" ht="63">
      <c r="A73" s="27">
        <v>65</v>
      </c>
      <c r="B73" s="9" t="s">
        <v>120</v>
      </c>
      <c r="C73" s="7" t="s">
        <v>22</v>
      </c>
      <c r="D73" s="85" t="s">
        <v>107</v>
      </c>
      <c r="E73" s="85" t="s">
        <v>84</v>
      </c>
      <c r="F73" s="8" t="s">
        <v>116</v>
      </c>
      <c r="G73" s="10" t="s">
        <v>23</v>
      </c>
      <c r="H73" s="11">
        <v>50</v>
      </c>
      <c r="I73" s="12">
        <f>199/1.12</f>
        <v>177.67857142857142</v>
      </c>
      <c r="J73" s="13">
        <f t="shared" si="2"/>
        <v>8883.9285714285706</v>
      </c>
      <c r="K73" s="14" t="s">
        <v>208</v>
      </c>
      <c r="L73" s="7" t="s">
        <v>208</v>
      </c>
      <c r="M73" s="14" t="s">
        <v>15</v>
      </c>
      <c r="N73" s="15">
        <v>0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6"/>
      <c r="NH73" s="6"/>
      <c r="NI73" s="6"/>
      <c r="NJ73" s="6"/>
      <c r="NK73" s="6"/>
      <c r="NL73" s="6"/>
      <c r="NM73" s="6"/>
      <c r="NN73" s="6"/>
      <c r="NO73" s="6"/>
      <c r="NP73" s="6"/>
      <c r="NQ73" s="6"/>
      <c r="NR73" s="6"/>
      <c r="NS73" s="6"/>
      <c r="NT73" s="6"/>
      <c r="NU73" s="6"/>
      <c r="NV73" s="6"/>
      <c r="NW73" s="6"/>
      <c r="NX73" s="6"/>
      <c r="NY73" s="6"/>
      <c r="NZ73" s="6"/>
      <c r="OA73" s="6"/>
      <c r="OB73" s="6"/>
      <c r="OC73" s="6"/>
      <c r="OD73" s="6"/>
      <c r="OE73" s="6"/>
      <c r="OF73" s="6"/>
      <c r="OG73" s="6"/>
      <c r="OH73" s="6"/>
      <c r="OI73" s="6"/>
      <c r="OJ73" s="6"/>
      <c r="OK73" s="6"/>
      <c r="OL73" s="6"/>
      <c r="OM73" s="6"/>
      <c r="ON73" s="6"/>
      <c r="OO73" s="6"/>
      <c r="OP73" s="6"/>
      <c r="OQ73" s="6"/>
      <c r="OR73" s="6"/>
      <c r="OS73" s="6"/>
      <c r="OT73" s="6"/>
      <c r="OU73" s="6"/>
      <c r="OV73" s="6"/>
      <c r="OW73" s="6"/>
      <c r="OX73" s="6"/>
      <c r="OY73" s="6"/>
      <c r="OZ73" s="6"/>
      <c r="PA73" s="6"/>
      <c r="PB73" s="6"/>
      <c r="PC73" s="6"/>
      <c r="PD73" s="6"/>
      <c r="PE73" s="6"/>
      <c r="PF73" s="6"/>
      <c r="PG73" s="6"/>
      <c r="PH73" s="6"/>
      <c r="PI73" s="6"/>
      <c r="PJ73" s="6"/>
      <c r="PK73" s="6"/>
      <c r="PL73" s="6"/>
      <c r="PM73" s="6"/>
      <c r="PN73" s="6"/>
      <c r="PO73" s="6"/>
      <c r="PP73" s="6"/>
      <c r="PQ73" s="6"/>
      <c r="PR73" s="6"/>
      <c r="PS73" s="6"/>
      <c r="PT73" s="6"/>
      <c r="PU73" s="6"/>
      <c r="PV73" s="6"/>
      <c r="PW73" s="6"/>
      <c r="PX73" s="6"/>
    </row>
    <row r="74" spans="1:440" s="4" customFormat="1" ht="63">
      <c r="A74" s="27">
        <v>66</v>
      </c>
      <c r="B74" s="9" t="s">
        <v>120</v>
      </c>
      <c r="C74" s="7" t="s">
        <v>22</v>
      </c>
      <c r="D74" s="85" t="s">
        <v>108</v>
      </c>
      <c r="E74" s="85" t="s">
        <v>85</v>
      </c>
      <c r="F74" s="8" t="s">
        <v>116</v>
      </c>
      <c r="G74" s="10" t="s">
        <v>23</v>
      </c>
      <c r="H74" s="11">
        <v>50</v>
      </c>
      <c r="I74" s="12">
        <f>265/1.12</f>
        <v>236.60714285714283</v>
      </c>
      <c r="J74" s="13">
        <f t="shared" si="2"/>
        <v>11830.357142857141</v>
      </c>
      <c r="K74" s="14" t="s">
        <v>208</v>
      </c>
      <c r="L74" s="7" t="s">
        <v>208</v>
      </c>
      <c r="M74" s="14" t="s">
        <v>15</v>
      </c>
      <c r="N74" s="15">
        <v>0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6"/>
      <c r="NH74" s="6"/>
      <c r="NI74" s="6"/>
      <c r="NJ74" s="6"/>
      <c r="NK74" s="6"/>
      <c r="NL74" s="6"/>
      <c r="NM74" s="6"/>
      <c r="NN74" s="6"/>
      <c r="NO74" s="6"/>
      <c r="NP74" s="6"/>
      <c r="NQ74" s="6"/>
      <c r="NR74" s="6"/>
      <c r="NS74" s="6"/>
      <c r="NT74" s="6"/>
      <c r="NU74" s="6"/>
      <c r="NV74" s="6"/>
      <c r="NW74" s="6"/>
      <c r="NX74" s="6"/>
      <c r="NY74" s="6"/>
      <c r="NZ74" s="6"/>
      <c r="OA74" s="6"/>
      <c r="OB74" s="6"/>
      <c r="OC74" s="6"/>
      <c r="OD74" s="6"/>
      <c r="OE74" s="6"/>
      <c r="OF74" s="6"/>
      <c r="OG74" s="6"/>
      <c r="OH74" s="6"/>
      <c r="OI74" s="6"/>
      <c r="OJ74" s="6"/>
      <c r="OK74" s="6"/>
      <c r="OL74" s="6"/>
      <c r="OM74" s="6"/>
      <c r="ON74" s="6"/>
      <c r="OO74" s="6"/>
      <c r="OP74" s="6"/>
      <c r="OQ74" s="6"/>
      <c r="OR74" s="6"/>
      <c r="OS74" s="6"/>
      <c r="OT74" s="6"/>
      <c r="OU74" s="6"/>
      <c r="OV74" s="6"/>
      <c r="OW74" s="6"/>
      <c r="OX74" s="6"/>
      <c r="OY74" s="6"/>
      <c r="OZ74" s="6"/>
      <c r="PA74" s="6"/>
      <c r="PB74" s="6"/>
      <c r="PC74" s="6"/>
      <c r="PD74" s="6"/>
      <c r="PE74" s="6"/>
      <c r="PF74" s="6"/>
      <c r="PG74" s="6"/>
      <c r="PH74" s="6"/>
      <c r="PI74" s="6"/>
      <c r="PJ74" s="6"/>
      <c r="PK74" s="6"/>
      <c r="PL74" s="6"/>
      <c r="PM74" s="6"/>
      <c r="PN74" s="6"/>
      <c r="PO74" s="6"/>
      <c r="PP74" s="6"/>
      <c r="PQ74" s="6"/>
      <c r="PR74" s="6"/>
      <c r="PS74" s="6"/>
      <c r="PT74" s="6"/>
      <c r="PU74" s="6"/>
      <c r="PV74" s="6"/>
      <c r="PW74" s="6"/>
      <c r="PX74" s="6"/>
    </row>
    <row r="75" spans="1:440" s="4" customFormat="1" ht="63">
      <c r="A75" s="27">
        <v>67</v>
      </c>
      <c r="B75" s="9" t="s">
        <v>120</v>
      </c>
      <c r="C75" s="7" t="s">
        <v>22</v>
      </c>
      <c r="D75" s="85" t="s">
        <v>109</v>
      </c>
      <c r="E75" s="85" t="s">
        <v>86</v>
      </c>
      <c r="F75" s="8" t="s">
        <v>116</v>
      </c>
      <c r="G75" s="10" t="s">
        <v>23</v>
      </c>
      <c r="H75" s="11">
        <v>50</v>
      </c>
      <c r="I75" s="12">
        <f>665/1.12</f>
        <v>593.75</v>
      </c>
      <c r="J75" s="13">
        <f t="shared" si="2"/>
        <v>29687.5</v>
      </c>
      <c r="K75" s="14" t="s">
        <v>208</v>
      </c>
      <c r="L75" s="7" t="s">
        <v>208</v>
      </c>
      <c r="M75" s="14" t="s">
        <v>15</v>
      </c>
      <c r="N75" s="15">
        <v>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6"/>
      <c r="NH75" s="6"/>
      <c r="NI75" s="6"/>
      <c r="NJ75" s="6"/>
      <c r="NK75" s="6"/>
      <c r="NL75" s="6"/>
      <c r="NM75" s="6"/>
      <c r="NN75" s="6"/>
      <c r="NO75" s="6"/>
      <c r="NP75" s="6"/>
      <c r="NQ75" s="6"/>
      <c r="NR75" s="6"/>
      <c r="NS75" s="6"/>
      <c r="NT75" s="6"/>
      <c r="NU75" s="6"/>
      <c r="NV75" s="6"/>
      <c r="NW75" s="6"/>
      <c r="NX75" s="6"/>
      <c r="NY75" s="6"/>
      <c r="NZ75" s="6"/>
      <c r="OA75" s="6"/>
      <c r="OB75" s="6"/>
      <c r="OC75" s="6"/>
      <c r="OD75" s="6"/>
      <c r="OE75" s="6"/>
      <c r="OF75" s="6"/>
      <c r="OG75" s="6"/>
      <c r="OH75" s="6"/>
      <c r="OI75" s="6"/>
      <c r="OJ75" s="6"/>
      <c r="OK75" s="6"/>
      <c r="OL75" s="6"/>
      <c r="OM75" s="6"/>
      <c r="ON75" s="6"/>
      <c r="OO75" s="6"/>
      <c r="OP75" s="6"/>
      <c r="OQ75" s="6"/>
      <c r="OR75" s="6"/>
      <c r="OS75" s="6"/>
      <c r="OT75" s="6"/>
      <c r="OU75" s="6"/>
      <c r="OV75" s="6"/>
      <c r="OW75" s="6"/>
      <c r="OX75" s="6"/>
      <c r="OY75" s="6"/>
      <c r="OZ75" s="6"/>
      <c r="PA75" s="6"/>
      <c r="PB75" s="6"/>
      <c r="PC75" s="6"/>
      <c r="PD75" s="6"/>
      <c r="PE75" s="6"/>
      <c r="PF75" s="6"/>
      <c r="PG75" s="6"/>
      <c r="PH75" s="6"/>
      <c r="PI75" s="6"/>
      <c r="PJ75" s="6"/>
      <c r="PK75" s="6"/>
      <c r="PL75" s="6"/>
      <c r="PM75" s="6"/>
      <c r="PN75" s="6"/>
      <c r="PO75" s="6"/>
      <c r="PP75" s="6"/>
      <c r="PQ75" s="6"/>
      <c r="PR75" s="6"/>
      <c r="PS75" s="6"/>
      <c r="PT75" s="6"/>
      <c r="PU75" s="6"/>
      <c r="PV75" s="6"/>
      <c r="PW75" s="6"/>
      <c r="PX75" s="6"/>
    </row>
    <row r="76" spans="1:440" s="4" customFormat="1" ht="63">
      <c r="A76" s="27">
        <v>68</v>
      </c>
      <c r="B76" s="9" t="s">
        <v>120</v>
      </c>
      <c r="C76" s="7" t="s">
        <v>22</v>
      </c>
      <c r="D76" s="85" t="s">
        <v>256</v>
      </c>
      <c r="E76" s="85" t="s">
        <v>233</v>
      </c>
      <c r="F76" s="8" t="s">
        <v>116</v>
      </c>
      <c r="G76" s="10" t="s">
        <v>23</v>
      </c>
      <c r="H76" s="11">
        <v>100</v>
      </c>
      <c r="I76" s="12">
        <f>25/1.12</f>
        <v>22.321428571428569</v>
      </c>
      <c r="J76" s="13">
        <f t="shared" si="2"/>
        <v>2232.1428571428569</v>
      </c>
      <c r="K76" s="14" t="s">
        <v>208</v>
      </c>
      <c r="L76" s="7" t="s">
        <v>208</v>
      </c>
      <c r="M76" s="14" t="s">
        <v>15</v>
      </c>
      <c r="N76" s="15">
        <v>0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6"/>
      <c r="NH76" s="6"/>
      <c r="NI76" s="6"/>
      <c r="NJ76" s="6"/>
      <c r="NK76" s="6"/>
      <c r="NL76" s="6"/>
      <c r="NM76" s="6"/>
      <c r="NN76" s="6"/>
      <c r="NO76" s="6"/>
      <c r="NP76" s="6"/>
      <c r="NQ76" s="6"/>
      <c r="NR76" s="6"/>
      <c r="NS76" s="6"/>
      <c r="NT76" s="6"/>
      <c r="NU76" s="6"/>
      <c r="NV76" s="6"/>
      <c r="NW76" s="6"/>
      <c r="NX76" s="6"/>
      <c r="NY76" s="6"/>
      <c r="NZ76" s="6"/>
      <c r="OA76" s="6"/>
      <c r="OB76" s="6"/>
      <c r="OC76" s="6"/>
      <c r="OD76" s="6"/>
      <c r="OE76" s="6"/>
      <c r="OF76" s="6"/>
      <c r="OG76" s="6"/>
      <c r="OH76" s="6"/>
      <c r="OI76" s="6"/>
      <c r="OJ76" s="6"/>
      <c r="OK76" s="6"/>
      <c r="OL76" s="6"/>
      <c r="OM76" s="6"/>
      <c r="ON76" s="6"/>
      <c r="OO76" s="6"/>
      <c r="OP76" s="6"/>
      <c r="OQ76" s="6"/>
      <c r="OR76" s="6"/>
      <c r="OS76" s="6"/>
      <c r="OT76" s="6"/>
      <c r="OU76" s="6"/>
      <c r="OV76" s="6"/>
      <c r="OW76" s="6"/>
      <c r="OX76" s="6"/>
      <c r="OY76" s="6"/>
      <c r="OZ76" s="6"/>
      <c r="PA76" s="6"/>
      <c r="PB76" s="6"/>
      <c r="PC76" s="6"/>
      <c r="PD76" s="6"/>
      <c r="PE76" s="6"/>
      <c r="PF76" s="6"/>
      <c r="PG76" s="6"/>
      <c r="PH76" s="6"/>
      <c r="PI76" s="6"/>
      <c r="PJ76" s="6"/>
      <c r="PK76" s="6"/>
      <c r="PL76" s="6"/>
      <c r="PM76" s="6"/>
      <c r="PN76" s="6"/>
      <c r="PO76" s="6"/>
      <c r="PP76" s="6"/>
      <c r="PQ76" s="6"/>
      <c r="PR76" s="6"/>
      <c r="PS76" s="6"/>
      <c r="PT76" s="6"/>
      <c r="PU76" s="6"/>
      <c r="PV76" s="6"/>
      <c r="PW76" s="6"/>
      <c r="PX76" s="6"/>
    </row>
    <row r="77" spans="1:440" s="4" customFormat="1" ht="63">
      <c r="A77" s="27">
        <v>69</v>
      </c>
      <c r="B77" s="9" t="s">
        <v>120</v>
      </c>
      <c r="C77" s="7" t="s">
        <v>22</v>
      </c>
      <c r="D77" s="85" t="s">
        <v>55</v>
      </c>
      <c r="E77" s="85" t="s">
        <v>234</v>
      </c>
      <c r="F77" s="8" t="s">
        <v>116</v>
      </c>
      <c r="G77" s="10" t="s">
        <v>23</v>
      </c>
      <c r="H77" s="11">
        <v>50</v>
      </c>
      <c r="I77" s="12">
        <f>270/1.12</f>
        <v>241.07142857142856</v>
      </c>
      <c r="J77" s="13">
        <f t="shared" si="2"/>
        <v>12053.571428571428</v>
      </c>
      <c r="K77" s="14" t="s">
        <v>208</v>
      </c>
      <c r="L77" s="7" t="s">
        <v>208</v>
      </c>
      <c r="M77" s="14" t="s">
        <v>15</v>
      </c>
      <c r="N77" s="15">
        <v>0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6"/>
      <c r="NH77" s="6"/>
      <c r="NI77" s="6"/>
      <c r="NJ77" s="6"/>
      <c r="NK77" s="6"/>
      <c r="NL77" s="6"/>
      <c r="NM77" s="6"/>
      <c r="NN77" s="6"/>
      <c r="NO77" s="6"/>
      <c r="NP77" s="6"/>
      <c r="NQ77" s="6"/>
      <c r="NR77" s="6"/>
      <c r="NS77" s="6"/>
      <c r="NT77" s="6"/>
      <c r="NU77" s="6"/>
      <c r="NV77" s="6"/>
      <c r="NW77" s="6"/>
      <c r="NX77" s="6"/>
      <c r="NY77" s="6"/>
      <c r="NZ77" s="6"/>
      <c r="OA77" s="6"/>
      <c r="OB77" s="6"/>
      <c r="OC77" s="6"/>
      <c r="OD77" s="6"/>
      <c r="OE77" s="6"/>
      <c r="OF77" s="6"/>
      <c r="OG77" s="6"/>
      <c r="OH77" s="6"/>
      <c r="OI77" s="6"/>
      <c r="OJ77" s="6"/>
      <c r="OK77" s="6"/>
      <c r="OL77" s="6"/>
      <c r="OM77" s="6"/>
      <c r="ON77" s="6"/>
      <c r="OO77" s="6"/>
      <c r="OP77" s="6"/>
      <c r="OQ77" s="6"/>
      <c r="OR77" s="6"/>
      <c r="OS77" s="6"/>
      <c r="OT77" s="6"/>
      <c r="OU77" s="6"/>
      <c r="OV77" s="6"/>
      <c r="OW77" s="6"/>
      <c r="OX77" s="6"/>
      <c r="OY77" s="6"/>
      <c r="OZ77" s="6"/>
      <c r="PA77" s="6"/>
      <c r="PB77" s="6"/>
      <c r="PC77" s="6"/>
      <c r="PD77" s="6"/>
      <c r="PE77" s="6"/>
      <c r="PF77" s="6"/>
      <c r="PG77" s="6"/>
      <c r="PH77" s="6"/>
      <c r="PI77" s="6"/>
      <c r="PJ77" s="6"/>
      <c r="PK77" s="6"/>
      <c r="PL77" s="6"/>
      <c r="PM77" s="6"/>
      <c r="PN77" s="6"/>
      <c r="PO77" s="6"/>
      <c r="PP77" s="6"/>
      <c r="PQ77" s="6"/>
      <c r="PR77" s="6"/>
      <c r="PS77" s="6"/>
      <c r="PT77" s="6"/>
      <c r="PU77" s="6"/>
      <c r="PV77" s="6"/>
      <c r="PW77" s="6"/>
      <c r="PX77" s="6"/>
    </row>
    <row r="78" spans="1:440" s="4" customFormat="1" ht="63">
      <c r="A78" s="27">
        <v>70</v>
      </c>
      <c r="B78" s="9" t="s">
        <v>120</v>
      </c>
      <c r="C78" s="7" t="s">
        <v>22</v>
      </c>
      <c r="D78" s="85" t="s">
        <v>257</v>
      </c>
      <c r="E78" s="85" t="s">
        <v>163</v>
      </c>
      <c r="F78" s="8" t="s">
        <v>116</v>
      </c>
      <c r="G78" s="10" t="s">
        <v>23</v>
      </c>
      <c r="H78" s="11">
        <v>15</v>
      </c>
      <c r="I78" s="12">
        <f>515/1.12</f>
        <v>459.82142857142856</v>
      </c>
      <c r="J78" s="13">
        <f t="shared" si="2"/>
        <v>6897.3214285714284</v>
      </c>
      <c r="K78" s="14" t="s">
        <v>208</v>
      </c>
      <c r="L78" s="7" t="s">
        <v>208</v>
      </c>
      <c r="M78" s="14" t="s">
        <v>15</v>
      </c>
      <c r="N78" s="15">
        <v>0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  <c r="JI78" s="6"/>
      <c r="JJ78" s="6"/>
      <c r="JK78" s="6"/>
      <c r="JL78" s="6"/>
      <c r="JM78" s="6"/>
      <c r="JN78" s="6"/>
      <c r="JO78" s="6"/>
      <c r="JP78" s="6"/>
      <c r="JQ78" s="6"/>
      <c r="JR78" s="6"/>
      <c r="JS78" s="6"/>
      <c r="JT78" s="6"/>
      <c r="JU78" s="6"/>
      <c r="JV78" s="6"/>
      <c r="JW78" s="6"/>
      <c r="JX78" s="6"/>
      <c r="JY78" s="6"/>
      <c r="JZ78" s="6"/>
      <c r="KA78" s="6"/>
      <c r="KB78" s="6"/>
      <c r="KC78" s="6"/>
      <c r="KD78" s="6"/>
      <c r="KE78" s="6"/>
      <c r="KF78" s="6"/>
      <c r="KG78" s="6"/>
      <c r="KH78" s="6"/>
      <c r="KI78" s="6"/>
      <c r="KJ78" s="6"/>
      <c r="KK78" s="6"/>
      <c r="KL78" s="6"/>
      <c r="KM78" s="6"/>
      <c r="KN78" s="6"/>
      <c r="KO78" s="6"/>
      <c r="KP78" s="6"/>
      <c r="KQ78" s="6"/>
      <c r="KR78" s="6"/>
      <c r="KS78" s="6"/>
      <c r="KT78" s="6"/>
      <c r="KU78" s="6"/>
      <c r="KV78" s="6"/>
      <c r="KW78" s="6"/>
      <c r="KX78" s="6"/>
      <c r="KY78" s="6"/>
      <c r="KZ78" s="6"/>
      <c r="LA78" s="6"/>
      <c r="LB78" s="6"/>
      <c r="LC78" s="6"/>
      <c r="LD78" s="6"/>
      <c r="LE78" s="6"/>
      <c r="LF78" s="6"/>
      <c r="LG78" s="6"/>
      <c r="LH78" s="6"/>
      <c r="LI78" s="6"/>
      <c r="LJ78" s="6"/>
      <c r="LK78" s="6"/>
      <c r="LL78" s="6"/>
      <c r="LM78" s="6"/>
      <c r="LN78" s="6"/>
      <c r="LO78" s="6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  <c r="MC78" s="6"/>
      <c r="MD78" s="6"/>
      <c r="ME78" s="6"/>
      <c r="MF78" s="6"/>
      <c r="MG78" s="6"/>
      <c r="MH78" s="6"/>
      <c r="MI78" s="6"/>
      <c r="MJ78" s="6"/>
      <c r="MK78" s="6"/>
      <c r="ML78" s="6"/>
      <c r="MM78" s="6"/>
      <c r="MN78" s="6"/>
      <c r="MO78" s="6"/>
      <c r="MP78" s="6"/>
      <c r="MQ78" s="6"/>
      <c r="MR78" s="6"/>
      <c r="MS78" s="6"/>
      <c r="MT78" s="6"/>
      <c r="MU78" s="6"/>
      <c r="MV78" s="6"/>
      <c r="MW78" s="6"/>
      <c r="MX78" s="6"/>
      <c r="MY78" s="6"/>
      <c r="MZ78" s="6"/>
      <c r="NA78" s="6"/>
      <c r="NB78" s="6"/>
      <c r="NC78" s="6"/>
      <c r="ND78" s="6"/>
      <c r="NE78" s="6"/>
      <c r="NF78" s="6"/>
      <c r="NG78" s="6"/>
      <c r="NH78" s="6"/>
      <c r="NI78" s="6"/>
      <c r="NJ78" s="6"/>
      <c r="NK78" s="6"/>
      <c r="NL78" s="6"/>
      <c r="NM78" s="6"/>
      <c r="NN78" s="6"/>
      <c r="NO78" s="6"/>
      <c r="NP78" s="6"/>
      <c r="NQ78" s="6"/>
      <c r="NR78" s="6"/>
      <c r="NS78" s="6"/>
      <c r="NT78" s="6"/>
      <c r="NU78" s="6"/>
      <c r="NV78" s="6"/>
      <c r="NW78" s="6"/>
      <c r="NX78" s="6"/>
      <c r="NY78" s="6"/>
      <c r="NZ78" s="6"/>
      <c r="OA78" s="6"/>
      <c r="OB78" s="6"/>
      <c r="OC78" s="6"/>
      <c r="OD78" s="6"/>
      <c r="OE78" s="6"/>
      <c r="OF78" s="6"/>
      <c r="OG78" s="6"/>
      <c r="OH78" s="6"/>
      <c r="OI78" s="6"/>
      <c r="OJ78" s="6"/>
      <c r="OK78" s="6"/>
      <c r="OL78" s="6"/>
      <c r="OM78" s="6"/>
      <c r="ON78" s="6"/>
      <c r="OO78" s="6"/>
      <c r="OP78" s="6"/>
      <c r="OQ78" s="6"/>
      <c r="OR78" s="6"/>
      <c r="OS78" s="6"/>
      <c r="OT78" s="6"/>
      <c r="OU78" s="6"/>
      <c r="OV78" s="6"/>
      <c r="OW78" s="6"/>
      <c r="OX78" s="6"/>
      <c r="OY78" s="6"/>
      <c r="OZ78" s="6"/>
      <c r="PA78" s="6"/>
      <c r="PB78" s="6"/>
      <c r="PC78" s="6"/>
      <c r="PD78" s="6"/>
      <c r="PE78" s="6"/>
      <c r="PF78" s="6"/>
      <c r="PG78" s="6"/>
      <c r="PH78" s="6"/>
      <c r="PI78" s="6"/>
      <c r="PJ78" s="6"/>
      <c r="PK78" s="6"/>
      <c r="PL78" s="6"/>
      <c r="PM78" s="6"/>
      <c r="PN78" s="6"/>
      <c r="PO78" s="6"/>
      <c r="PP78" s="6"/>
      <c r="PQ78" s="6"/>
      <c r="PR78" s="6"/>
      <c r="PS78" s="6"/>
      <c r="PT78" s="6"/>
      <c r="PU78" s="6"/>
      <c r="PV78" s="6"/>
      <c r="PW78" s="6"/>
      <c r="PX78" s="6"/>
    </row>
    <row r="79" spans="1:440" s="4" customFormat="1" ht="63">
      <c r="A79" s="27">
        <v>71</v>
      </c>
      <c r="B79" s="9" t="s">
        <v>120</v>
      </c>
      <c r="C79" s="7" t="s">
        <v>22</v>
      </c>
      <c r="D79" s="85" t="s">
        <v>258</v>
      </c>
      <c r="E79" s="85" t="s">
        <v>235</v>
      </c>
      <c r="F79" s="8" t="s">
        <v>116</v>
      </c>
      <c r="G79" s="10" t="s">
        <v>23</v>
      </c>
      <c r="H79" s="11">
        <v>10</v>
      </c>
      <c r="I79" s="12">
        <f>320/1.12</f>
        <v>285.71428571428567</v>
      </c>
      <c r="J79" s="13">
        <f t="shared" si="2"/>
        <v>2857.1428571428569</v>
      </c>
      <c r="K79" s="14" t="s">
        <v>208</v>
      </c>
      <c r="L79" s="7" t="s">
        <v>208</v>
      </c>
      <c r="M79" s="14" t="s">
        <v>15</v>
      </c>
      <c r="N79" s="15">
        <v>0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  <c r="KE79" s="6"/>
      <c r="KF79" s="6"/>
      <c r="KG79" s="6"/>
      <c r="KH79" s="6"/>
      <c r="KI79" s="6"/>
      <c r="KJ79" s="6"/>
      <c r="KK79" s="6"/>
      <c r="KL79" s="6"/>
      <c r="KM79" s="6"/>
      <c r="KN79" s="6"/>
      <c r="KO79" s="6"/>
      <c r="KP79" s="6"/>
      <c r="KQ79" s="6"/>
      <c r="KR79" s="6"/>
      <c r="KS79" s="6"/>
      <c r="KT79" s="6"/>
      <c r="KU79" s="6"/>
      <c r="KV79" s="6"/>
      <c r="KW79" s="6"/>
      <c r="KX79" s="6"/>
      <c r="KY79" s="6"/>
      <c r="KZ79" s="6"/>
      <c r="LA79" s="6"/>
      <c r="LB79" s="6"/>
      <c r="LC79" s="6"/>
      <c r="LD79" s="6"/>
      <c r="LE79" s="6"/>
      <c r="LF79" s="6"/>
      <c r="LG79" s="6"/>
      <c r="LH79" s="6"/>
      <c r="LI79" s="6"/>
      <c r="LJ79" s="6"/>
      <c r="LK79" s="6"/>
      <c r="LL79" s="6"/>
      <c r="LM79" s="6"/>
      <c r="LN79" s="6"/>
      <c r="LO79" s="6"/>
      <c r="LP79" s="6"/>
      <c r="LQ79" s="6"/>
      <c r="LR79" s="6"/>
      <c r="LS79" s="6"/>
      <c r="LT79" s="6"/>
      <c r="LU79" s="6"/>
      <c r="LV79" s="6"/>
      <c r="LW79" s="6"/>
      <c r="LX79" s="6"/>
      <c r="LY79" s="6"/>
      <c r="LZ79" s="6"/>
      <c r="MA79" s="6"/>
      <c r="MB79" s="6"/>
      <c r="MC79" s="6"/>
      <c r="MD79" s="6"/>
      <c r="ME79" s="6"/>
      <c r="MF79" s="6"/>
      <c r="MG79" s="6"/>
      <c r="MH79" s="6"/>
      <c r="MI79" s="6"/>
      <c r="MJ79" s="6"/>
      <c r="MK79" s="6"/>
      <c r="ML79" s="6"/>
      <c r="MM79" s="6"/>
      <c r="MN79" s="6"/>
      <c r="MO79" s="6"/>
      <c r="MP79" s="6"/>
      <c r="MQ79" s="6"/>
      <c r="MR79" s="6"/>
      <c r="MS79" s="6"/>
      <c r="MT79" s="6"/>
      <c r="MU79" s="6"/>
      <c r="MV79" s="6"/>
      <c r="MW79" s="6"/>
      <c r="MX79" s="6"/>
      <c r="MY79" s="6"/>
      <c r="MZ79" s="6"/>
      <c r="NA79" s="6"/>
      <c r="NB79" s="6"/>
      <c r="NC79" s="6"/>
      <c r="ND79" s="6"/>
      <c r="NE79" s="6"/>
      <c r="NF79" s="6"/>
      <c r="NG79" s="6"/>
      <c r="NH79" s="6"/>
      <c r="NI79" s="6"/>
      <c r="NJ79" s="6"/>
      <c r="NK79" s="6"/>
      <c r="NL79" s="6"/>
      <c r="NM79" s="6"/>
      <c r="NN79" s="6"/>
      <c r="NO79" s="6"/>
      <c r="NP79" s="6"/>
      <c r="NQ79" s="6"/>
      <c r="NR79" s="6"/>
      <c r="NS79" s="6"/>
      <c r="NT79" s="6"/>
      <c r="NU79" s="6"/>
      <c r="NV79" s="6"/>
      <c r="NW79" s="6"/>
      <c r="NX79" s="6"/>
      <c r="NY79" s="6"/>
      <c r="NZ79" s="6"/>
      <c r="OA79" s="6"/>
      <c r="OB79" s="6"/>
      <c r="OC79" s="6"/>
      <c r="OD79" s="6"/>
      <c r="OE79" s="6"/>
      <c r="OF79" s="6"/>
      <c r="OG79" s="6"/>
      <c r="OH79" s="6"/>
      <c r="OI79" s="6"/>
      <c r="OJ79" s="6"/>
      <c r="OK79" s="6"/>
      <c r="OL79" s="6"/>
      <c r="OM79" s="6"/>
      <c r="ON79" s="6"/>
      <c r="OO79" s="6"/>
      <c r="OP79" s="6"/>
      <c r="OQ79" s="6"/>
      <c r="OR79" s="6"/>
      <c r="OS79" s="6"/>
      <c r="OT79" s="6"/>
      <c r="OU79" s="6"/>
      <c r="OV79" s="6"/>
      <c r="OW79" s="6"/>
      <c r="OX79" s="6"/>
      <c r="OY79" s="6"/>
      <c r="OZ79" s="6"/>
      <c r="PA79" s="6"/>
      <c r="PB79" s="6"/>
      <c r="PC79" s="6"/>
      <c r="PD79" s="6"/>
      <c r="PE79" s="6"/>
      <c r="PF79" s="6"/>
      <c r="PG79" s="6"/>
      <c r="PH79" s="6"/>
      <c r="PI79" s="6"/>
      <c r="PJ79" s="6"/>
      <c r="PK79" s="6"/>
      <c r="PL79" s="6"/>
      <c r="PM79" s="6"/>
      <c r="PN79" s="6"/>
      <c r="PO79" s="6"/>
      <c r="PP79" s="6"/>
      <c r="PQ79" s="6"/>
      <c r="PR79" s="6"/>
      <c r="PS79" s="6"/>
      <c r="PT79" s="6"/>
      <c r="PU79" s="6"/>
      <c r="PV79" s="6"/>
      <c r="PW79" s="6"/>
      <c r="PX79" s="6"/>
    </row>
    <row r="80" spans="1:440" s="4" customFormat="1" ht="63">
      <c r="A80" s="27">
        <v>72</v>
      </c>
      <c r="B80" s="9" t="s">
        <v>120</v>
      </c>
      <c r="C80" s="7" t="s">
        <v>22</v>
      </c>
      <c r="D80" s="85" t="s">
        <v>259</v>
      </c>
      <c r="E80" s="85" t="s">
        <v>236</v>
      </c>
      <c r="F80" s="8" t="s">
        <v>116</v>
      </c>
      <c r="G80" s="10" t="s">
        <v>23</v>
      </c>
      <c r="H80" s="11">
        <v>1000</v>
      </c>
      <c r="I80" s="12">
        <f>18/1.12</f>
        <v>16.071428571428569</v>
      </c>
      <c r="J80" s="13">
        <f t="shared" si="2"/>
        <v>16071.428571428569</v>
      </c>
      <c r="K80" s="14" t="s">
        <v>208</v>
      </c>
      <c r="L80" s="7" t="s">
        <v>208</v>
      </c>
      <c r="M80" s="14" t="s">
        <v>15</v>
      </c>
      <c r="N80" s="15">
        <v>0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  <c r="JI80" s="6"/>
      <c r="JJ80" s="6"/>
      <c r="JK80" s="6"/>
      <c r="JL80" s="6"/>
      <c r="JM80" s="6"/>
      <c r="JN80" s="6"/>
      <c r="JO80" s="6"/>
      <c r="JP80" s="6"/>
      <c r="JQ80" s="6"/>
      <c r="JR80" s="6"/>
      <c r="JS80" s="6"/>
      <c r="JT80" s="6"/>
      <c r="JU80" s="6"/>
      <c r="JV80" s="6"/>
      <c r="JW80" s="6"/>
      <c r="JX80" s="6"/>
      <c r="JY80" s="6"/>
      <c r="JZ80" s="6"/>
      <c r="KA80" s="6"/>
      <c r="KB80" s="6"/>
      <c r="KC80" s="6"/>
      <c r="KD80" s="6"/>
      <c r="KE80" s="6"/>
      <c r="KF80" s="6"/>
      <c r="KG80" s="6"/>
      <c r="KH80" s="6"/>
      <c r="KI80" s="6"/>
      <c r="KJ80" s="6"/>
      <c r="KK80" s="6"/>
      <c r="KL80" s="6"/>
      <c r="KM80" s="6"/>
      <c r="KN80" s="6"/>
      <c r="KO80" s="6"/>
      <c r="KP80" s="6"/>
      <c r="KQ80" s="6"/>
      <c r="KR80" s="6"/>
      <c r="KS80" s="6"/>
      <c r="KT80" s="6"/>
      <c r="KU80" s="6"/>
      <c r="KV80" s="6"/>
      <c r="KW80" s="6"/>
      <c r="KX80" s="6"/>
      <c r="KY80" s="6"/>
      <c r="KZ80" s="6"/>
      <c r="LA80" s="6"/>
      <c r="LB80" s="6"/>
      <c r="LC80" s="6"/>
      <c r="LD80" s="6"/>
      <c r="LE80" s="6"/>
      <c r="LF80" s="6"/>
      <c r="LG80" s="6"/>
      <c r="LH80" s="6"/>
      <c r="LI80" s="6"/>
      <c r="LJ80" s="6"/>
      <c r="LK80" s="6"/>
      <c r="LL80" s="6"/>
      <c r="LM80" s="6"/>
      <c r="LN80" s="6"/>
      <c r="LO80" s="6"/>
      <c r="LP80" s="6"/>
      <c r="LQ80" s="6"/>
      <c r="LR80" s="6"/>
      <c r="LS80" s="6"/>
      <c r="LT80" s="6"/>
      <c r="LU80" s="6"/>
      <c r="LV80" s="6"/>
      <c r="LW80" s="6"/>
      <c r="LX80" s="6"/>
      <c r="LY80" s="6"/>
      <c r="LZ80" s="6"/>
      <c r="MA80" s="6"/>
      <c r="MB80" s="6"/>
      <c r="MC80" s="6"/>
      <c r="MD80" s="6"/>
      <c r="ME80" s="6"/>
      <c r="MF80" s="6"/>
      <c r="MG80" s="6"/>
      <c r="MH80" s="6"/>
      <c r="MI80" s="6"/>
      <c r="MJ80" s="6"/>
      <c r="MK80" s="6"/>
      <c r="ML80" s="6"/>
      <c r="MM80" s="6"/>
      <c r="MN80" s="6"/>
      <c r="MO80" s="6"/>
      <c r="MP80" s="6"/>
      <c r="MQ80" s="6"/>
      <c r="MR80" s="6"/>
      <c r="MS80" s="6"/>
      <c r="MT80" s="6"/>
      <c r="MU80" s="6"/>
      <c r="MV80" s="6"/>
      <c r="MW80" s="6"/>
      <c r="MX80" s="6"/>
      <c r="MY80" s="6"/>
      <c r="MZ80" s="6"/>
      <c r="NA80" s="6"/>
      <c r="NB80" s="6"/>
      <c r="NC80" s="6"/>
      <c r="ND80" s="6"/>
      <c r="NE80" s="6"/>
      <c r="NF80" s="6"/>
      <c r="NG80" s="6"/>
      <c r="NH80" s="6"/>
      <c r="NI80" s="6"/>
      <c r="NJ80" s="6"/>
      <c r="NK80" s="6"/>
      <c r="NL80" s="6"/>
      <c r="NM80" s="6"/>
      <c r="NN80" s="6"/>
      <c r="NO80" s="6"/>
      <c r="NP80" s="6"/>
      <c r="NQ80" s="6"/>
      <c r="NR80" s="6"/>
      <c r="NS80" s="6"/>
      <c r="NT80" s="6"/>
      <c r="NU80" s="6"/>
      <c r="NV80" s="6"/>
      <c r="NW80" s="6"/>
      <c r="NX80" s="6"/>
      <c r="NY80" s="6"/>
      <c r="NZ80" s="6"/>
      <c r="OA80" s="6"/>
      <c r="OB80" s="6"/>
      <c r="OC80" s="6"/>
      <c r="OD80" s="6"/>
      <c r="OE80" s="6"/>
      <c r="OF80" s="6"/>
      <c r="OG80" s="6"/>
      <c r="OH80" s="6"/>
      <c r="OI80" s="6"/>
      <c r="OJ80" s="6"/>
      <c r="OK80" s="6"/>
      <c r="OL80" s="6"/>
      <c r="OM80" s="6"/>
      <c r="ON80" s="6"/>
      <c r="OO80" s="6"/>
      <c r="OP80" s="6"/>
      <c r="OQ80" s="6"/>
      <c r="OR80" s="6"/>
      <c r="OS80" s="6"/>
      <c r="OT80" s="6"/>
      <c r="OU80" s="6"/>
      <c r="OV80" s="6"/>
      <c r="OW80" s="6"/>
      <c r="OX80" s="6"/>
      <c r="OY80" s="6"/>
      <c r="OZ80" s="6"/>
      <c r="PA80" s="6"/>
      <c r="PB80" s="6"/>
      <c r="PC80" s="6"/>
      <c r="PD80" s="6"/>
      <c r="PE80" s="6"/>
      <c r="PF80" s="6"/>
      <c r="PG80" s="6"/>
      <c r="PH80" s="6"/>
      <c r="PI80" s="6"/>
      <c r="PJ80" s="6"/>
      <c r="PK80" s="6"/>
      <c r="PL80" s="6"/>
      <c r="PM80" s="6"/>
      <c r="PN80" s="6"/>
      <c r="PO80" s="6"/>
      <c r="PP80" s="6"/>
      <c r="PQ80" s="6"/>
      <c r="PR80" s="6"/>
      <c r="PS80" s="6"/>
      <c r="PT80" s="6"/>
      <c r="PU80" s="6"/>
      <c r="PV80" s="6"/>
      <c r="PW80" s="6"/>
      <c r="PX80" s="6"/>
    </row>
    <row r="81" spans="1:440" s="4" customFormat="1" ht="63">
      <c r="A81" s="27">
        <v>73</v>
      </c>
      <c r="B81" s="9" t="s">
        <v>120</v>
      </c>
      <c r="C81" s="7" t="s">
        <v>22</v>
      </c>
      <c r="D81" s="85" t="s">
        <v>260</v>
      </c>
      <c r="E81" s="85" t="s">
        <v>237</v>
      </c>
      <c r="F81" s="8" t="s">
        <v>116</v>
      </c>
      <c r="G81" s="10" t="s">
        <v>23</v>
      </c>
      <c r="H81" s="11">
        <v>50</v>
      </c>
      <c r="I81" s="12">
        <f>145/1.12</f>
        <v>129.46428571428569</v>
      </c>
      <c r="J81" s="13">
        <f t="shared" si="2"/>
        <v>6473.2142857142844</v>
      </c>
      <c r="K81" s="14" t="s">
        <v>208</v>
      </c>
      <c r="L81" s="7" t="s">
        <v>208</v>
      </c>
      <c r="M81" s="14" t="s">
        <v>15</v>
      </c>
      <c r="N81" s="15">
        <v>0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6"/>
      <c r="NH81" s="6"/>
      <c r="NI81" s="6"/>
      <c r="NJ81" s="6"/>
      <c r="NK81" s="6"/>
      <c r="NL81" s="6"/>
      <c r="NM81" s="6"/>
      <c r="NN81" s="6"/>
      <c r="NO81" s="6"/>
      <c r="NP81" s="6"/>
      <c r="NQ81" s="6"/>
      <c r="NR81" s="6"/>
      <c r="NS81" s="6"/>
      <c r="NT81" s="6"/>
      <c r="NU81" s="6"/>
      <c r="NV81" s="6"/>
      <c r="NW81" s="6"/>
      <c r="NX81" s="6"/>
      <c r="NY81" s="6"/>
      <c r="NZ81" s="6"/>
      <c r="OA81" s="6"/>
      <c r="OB81" s="6"/>
      <c r="OC81" s="6"/>
      <c r="OD81" s="6"/>
      <c r="OE81" s="6"/>
      <c r="OF81" s="6"/>
      <c r="OG81" s="6"/>
      <c r="OH81" s="6"/>
      <c r="OI81" s="6"/>
      <c r="OJ81" s="6"/>
      <c r="OK81" s="6"/>
      <c r="OL81" s="6"/>
      <c r="OM81" s="6"/>
      <c r="ON81" s="6"/>
      <c r="OO81" s="6"/>
      <c r="OP81" s="6"/>
      <c r="OQ81" s="6"/>
      <c r="OR81" s="6"/>
      <c r="OS81" s="6"/>
      <c r="OT81" s="6"/>
      <c r="OU81" s="6"/>
      <c r="OV81" s="6"/>
      <c r="OW81" s="6"/>
      <c r="OX81" s="6"/>
      <c r="OY81" s="6"/>
      <c r="OZ81" s="6"/>
      <c r="PA81" s="6"/>
      <c r="PB81" s="6"/>
      <c r="PC81" s="6"/>
      <c r="PD81" s="6"/>
      <c r="PE81" s="6"/>
      <c r="PF81" s="6"/>
      <c r="PG81" s="6"/>
      <c r="PH81" s="6"/>
      <c r="PI81" s="6"/>
      <c r="PJ81" s="6"/>
      <c r="PK81" s="6"/>
      <c r="PL81" s="6"/>
      <c r="PM81" s="6"/>
      <c r="PN81" s="6"/>
      <c r="PO81" s="6"/>
      <c r="PP81" s="6"/>
      <c r="PQ81" s="6"/>
      <c r="PR81" s="6"/>
      <c r="PS81" s="6"/>
      <c r="PT81" s="6"/>
      <c r="PU81" s="6"/>
      <c r="PV81" s="6"/>
      <c r="PW81" s="6"/>
      <c r="PX81" s="6"/>
    </row>
    <row r="82" spans="1:440" s="4" customFormat="1" ht="63">
      <c r="A82" s="27">
        <v>74</v>
      </c>
      <c r="B82" s="9" t="s">
        <v>120</v>
      </c>
      <c r="C82" s="7" t="s">
        <v>22</v>
      </c>
      <c r="D82" s="85" t="s">
        <v>261</v>
      </c>
      <c r="E82" s="85" t="s">
        <v>238</v>
      </c>
      <c r="F82" s="8" t="s">
        <v>116</v>
      </c>
      <c r="G82" s="10" t="s">
        <v>23</v>
      </c>
      <c r="H82" s="11">
        <v>50</v>
      </c>
      <c r="I82" s="12">
        <f>50/1.12</f>
        <v>44.642857142857139</v>
      </c>
      <c r="J82" s="13">
        <f t="shared" si="2"/>
        <v>2232.1428571428569</v>
      </c>
      <c r="K82" s="14" t="s">
        <v>208</v>
      </c>
      <c r="L82" s="7" t="s">
        <v>208</v>
      </c>
      <c r="M82" s="14" t="s">
        <v>15</v>
      </c>
      <c r="N82" s="15">
        <v>0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  <c r="JN82" s="6"/>
      <c r="JO82" s="6"/>
      <c r="JP82" s="6"/>
      <c r="JQ82" s="6"/>
      <c r="JR82" s="6"/>
      <c r="JS82" s="6"/>
      <c r="JT82" s="6"/>
      <c r="JU82" s="6"/>
      <c r="JV82" s="6"/>
      <c r="JW82" s="6"/>
      <c r="JX82" s="6"/>
      <c r="JY82" s="6"/>
      <c r="JZ82" s="6"/>
      <c r="KA82" s="6"/>
      <c r="KB82" s="6"/>
      <c r="KC82" s="6"/>
      <c r="KD82" s="6"/>
      <c r="KE82" s="6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KU82" s="6"/>
      <c r="KV82" s="6"/>
      <c r="KW82" s="6"/>
      <c r="KX82" s="6"/>
      <c r="KY82" s="6"/>
      <c r="KZ82" s="6"/>
      <c r="LA82" s="6"/>
      <c r="LB82" s="6"/>
      <c r="LC82" s="6"/>
      <c r="LD82" s="6"/>
      <c r="LE82" s="6"/>
      <c r="LF82" s="6"/>
      <c r="LG82" s="6"/>
      <c r="LH82" s="6"/>
      <c r="LI82" s="6"/>
      <c r="LJ82" s="6"/>
      <c r="LK82" s="6"/>
      <c r="LL82" s="6"/>
      <c r="LM82" s="6"/>
      <c r="LN82" s="6"/>
      <c r="LO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MC82" s="6"/>
      <c r="MD82" s="6"/>
      <c r="ME82" s="6"/>
      <c r="MF82" s="6"/>
      <c r="MG82" s="6"/>
      <c r="MH82" s="6"/>
      <c r="MI82" s="6"/>
      <c r="MJ82" s="6"/>
      <c r="MK82" s="6"/>
      <c r="ML82" s="6"/>
      <c r="MM82" s="6"/>
      <c r="MN82" s="6"/>
      <c r="MO82" s="6"/>
      <c r="MP82" s="6"/>
      <c r="MQ82" s="6"/>
      <c r="MR82" s="6"/>
      <c r="MS82" s="6"/>
      <c r="MT82" s="6"/>
      <c r="MU82" s="6"/>
      <c r="MV82" s="6"/>
      <c r="MW82" s="6"/>
      <c r="MX82" s="6"/>
      <c r="MY82" s="6"/>
      <c r="MZ82" s="6"/>
      <c r="NA82" s="6"/>
      <c r="NB82" s="6"/>
      <c r="NC82" s="6"/>
      <c r="ND82" s="6"/>
      <c r="NE82" s="6"/>
      <c r="NF82" s="6"/>
      <c r="NG82" s="6"/>
      <c r="NH82" s="6"/>
      <c r="NI82" s="6"/>
      <c r="NJ82" s="6"/>
      <c r="NK82" s="6"/>
      <c r="NL82" s="6"/>
      <c r="NM82" s="6"/>
      <c r="NN82" s="6"/>
      <c r="NO82" s="6"/>
      <c r="NP82" s="6"/>
      <c r="NQ82" s="6"/>
      <c r="NR82" s="6"/>
      <c r="NS82" s="6"/>
      <c r="NT82" s="6"/>
      <c r="NU82" s="6"/>
      <c r="NV82" s="6"/>
      <c r="NW82" s="6"/>
      <c r="NX82" s="6"/>
      <c r="NY82" s="6"/>
      <c r="NZ82" s="6"/>
      <c r="OA82" s="6"/>
      <c r="OB82" s="6"/>
      <c r="OC82" s="6"/>
      <c r="OD82" s="6"/>
      <c r="OE82" s="6"/>
      <c r="OF82" s="6"/>
      <c r="OG82" s="6"/>
      <c r="OH82" s="6"/>
      <c r="OI82" s="6"/>
      <c r="OJ82" s="6"/>
      <c r="OK82" s="6"/>
      <c r="OL82" s="6"/>
      <c r="OM82" s="6"/>
      <c r="ON82" s="6"/>
      <c r="OO82" s="6"/>
      <c r="OP82" s="6"/>
      <c r="OQ82" s="6"/>
      <c r="OR82" s="6"/>
      <c r="OS82" s="6"/>
      <c r="OT82" s="6"/>
      <c r="OU82" s="6"/>
      <c r="OV82" s="6"/>
      <c r="OW82" s="6"/>
      <c r="OX82" s="6"/>
      <c r="OY82" s="6"/>
      <c r="OZ82" s="6"/>
      <c r="PA82" s="6"/>
      <c r="PB82" s="6"/>
      <c r="PC82" s="6"/>
      <c r="PD82" s="6"/>
      <c r="PE82" s="6"/>
      <c r="PF82" s="6"/>
      <c r="PG82" s="6"/>
      <c r="PH82" s="6"/>
      <c r="PI82" s="6"/>
      <c r="PJ82" s="6"/>
      <c r="PK82" s="6"/>
      <c r="PL82" s="6"/>
      <c r="PM82" s="6"/>
      <c r="PN82" s="6"/>
      <c r="PO82" s="6"/>
      <c r="PP82" s="6"/>
      <c r="PQ82" s="6"/>
      <c r="PR82" s="6"/>
      <c r="PS82" s="6"/>
      <c r="PT82" s="6"/>
      <c r="PU82" s="6"/>
      <c r="PV82" s="6"/>
      <c r="PW82" s="6"/>
      <c r="PX82" s="6"/>
    </row>
    <row r="83" spans="1:440" s="4" customFormat="1" ht="63">
      <c r="A83" s="27">
        <v>75</v>
      </c>
      <c r="B83" s="9" t="s">
        <v>120</v>
      </c>
      <c r="C83" s="7" t="s">
        <v>22</v>
      </c>
      <c r="D83" s="85" t="s">
        <v>262</v>
      </c>
      <c r="E83" s="85" t="s">
        <v>239</v>
      </c>
      <c r="F83" s="8" t="s">
        <v>116</v>
      </c>
      <c r="G83" s="10" t="s">
        <v>23</v>
      </c>
      <c r="H83" s="11">
        <v>10</v>
      </c>
      <c r="I83" s="12">
        <f>595/1.12</f>
        <v>531.25</v>
      </c>
      <c r="J83" s="13">
        <f t="shared" si="2"/>
        <v>5312.5</v>
      </c>
      <c r="K83" s="14" t="s">
        <v>208</v>
      </c>
      <c r="L83" s="7" t="s">
        <v>208</v>
      </c>
      <c r="M83" s="14" t="s">
        <v>15</v>
      </c>
      <c r="N83" s="15">
        <v>0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6"/>
      <c r="JV83" s="6"/>
      <c r="JW83" s="6"/>
      <c r="JX83" s="6"/>
      <c r="JY83" s="6"/>
      <c r="JZ83" s="6"/>
      <c r="KA83" s="6"/>
      <c r="KB83" s="6"/>
      <c r="KC83" s="6"/>
      <c r="KD83" s="6"/>
      <c r="KE83" s="6"/>
      <c r="KF83" s="6"/>
      <c r="KG83" s="6"/>
      <c r="KH83" s="6"/>
      <c r="KI83" s="6"/>
      <c r="KJ83" s="6"/>
      <c r="KK83" s="6"/>
      <c r="KL83" s="6"/>
      <c r="KM83" s="6"/>
      <c r="KN83" s="6"/>
      <c r="KO83" s="6"/>
      <c r="KP83" s="6"/>
      <c r="KQ83" s="6"/>
      <c r="KR83" s="6"/>
      <c r="KS83" s="6"/>
      <c r="KT83" s="6"/>
      <c r="KU83" s="6"/>
      <c r="KV83" s="6"/>
      <c r="KW83" s="6"/>
      <c r="KX83" s="6"/>
      <c r="KY83" s="6"/>
      <c r="KZ83" s="6"/>
      <c r="LA83" s="6"/>
      <c r="LB83" s="6"/>
      <c r="LC83" s="6"/>
      <c r="LD83" s="6"/>
      <c r="LE83" s="6"/>
      <c r="LF83" s="6"/>
      <c r="LG83" s="6"/>
      <c r="LH83" s="6"/>
      <c r="LI83" s="6"/>
      <c r="LJ83" s="6"/>
      <c r="LK83" s="6"/>
      <c r="LL83" s="6"/>
      <c r="LM83" s="6"/>
      <c r="LN83" s="6"/>
      <c r="LO83" s="6"/>
      <c r="LP83" s="6"/>
      <c r="LQ83" s="6"/>
      <c r="LR83" s="6"/>
      <c r="LS83" s="6"/>
      <c r="LT83" s="6"/>
      <c r="LU83" s="6"/>
      <c r="LV83" s="6"/>
      <c r="LW83" s="6"/>
      <c r="LX83" s="6"/>
      <c r="LY83" s="6"/>
      <c r="LZ83" s="6"/>
      <c r="MA83" s="6"/>
      <c r="MB83" s="6"/>
      <c r="MC83" s="6"/>
      <c r="MD83" s="6"/>
      <c r="ME83" s="6"/>
      <c r="MF83" s="6"/>
      <c r="MG83" s="6"/>
      <c r="MH83" s="6"/>
      <c r="MI83" s="6"/>
      <c r="MJ83" s="6"/>
      <c r="MK83" s="6"/>
      <c r="ML83" s="6"/>
      <c r="MM83" s="6"/>
      <c r="MN83" s="6"/>
      <c r="MO83" s="6"/>
      <c r="MP83" s="6"/>
      <c r="MQ83" s="6"/>
      <c r="MR83" s="6"/>
      <c r="MS83" s="6"/>
      <c r="MT83" s="6"/>
      <c r="MU83" s="6"/>
      <c r="MV83" s="6"/>
      <c r="MW83" s="6"/>
      <c r="MX83" s="6"/>
      <c r="MY83" s="6"/>
      <c r="MZ83" s="6"/>
      <c r="NA83" s="6"/>
      <c r="NB83" s="6"/>
      <c r="NC83" s="6"/>
      <c r="ND83" s="6"/>
      <c r="NE83" s="6"/>
      <c r="NF83" s="6"/>
      <c r="NG83" s="6"/>
      <c r="NH83" s="6"/>
      <c r="NI83" s="6"/>
      <c r="NJ83" s="6"/>
      <c r="NK83" s="6"/>
      <c r="NL83" s="6"/>
      <c r="NM83" s="6"/>
      <c r="NN83" s="6"/>
      <c r="NO83" s="6"/>
      <c r="NP83" s="6"/>
      <c r="NQ83" s="6"/>
      <c r="NR83" s="6"/>
      <c r="NS83" s="6"/>
      <c r="NT83" s="6"/>
      <c r="NU83" s="6"/>
      <c r="NV83" s="6"/>
      <c r="NW83" s="6"/>
      <c r="NX83" s="6"/>
      <c r="NY83" s="6"/>
      <c r="NZ83" s="6"/>
      <c r="OA83" s="6"/>
      <c r="OB83" s="6"/>
      <c r="OC83" s="6"/>
      <c r="OD83" s="6"/>
      <c r="OE83" s="6"/>
      <c r="OF83" s="6"/>
      <c r="OG83" s="6"/>
      <c r="OH83" s="6"/>
      <c r="OI83" s="6"/>
      <c r="OJ83" s="6"/>
      <c r="OK83" s="6"/>
      <c r="OL83" s="6"/>
      <c r="OM83" s="6"/>
      <c r="ON83" s="6"/>
      <c r="OO83" s="6"/>
      <c r="OP83" s="6"/>
      <c r="OQ83" s="6"/>
      <c r="OR83" s="6"/>
      <c r="OS83" s="6"/>
      <c r="OT83" s="6"/>
      <c r="OU83" s="6"/>
      <c r="OV83" s="6"/>
      <c r="OW83" s="6"/>
      <c r="OX83" s="6"/>
      <c r="OY83" s="6"/>
      <c r="OZ83" s="6"/>
      <c r="PA83" s="6"/>
      <c r="PB83" s="6"/>
      <c r="PC83" s="6"/>
      <c r="PD83" s="6"/>
      <c r="PE83" s="6"/>
      <c r="PF83" s="6"/>
      <c r="PG83" s="6"/>
      <c r="PH83" s="6"/>
      <c r="PI83" s="6"/>
      <c r="PJ83" s="6"/>
      <c r="PK83" s="6"/>
      <c r="PL83" s="6"/>
      <c r="PM83" s="6"/>
      <c r="PN83" s="6"/>
      <c r="PO83" s="6"/>
      <c r="PP83" s="6"/>
      <c r="PQ83" s="6"/>
      <c r="PR83" s="6"/>
      <c r="PS83" s="6"/>
      <c r="PT83" s="6"/>
      <c r="PU83" s="6"/>
      <c r="PV83" s="6"/>
      <c r="PW83" s="6"/>
      <c r="PX83" s="6"/>
    </row>
    <row r="84" spans="1:440" s="4" customFormat="1" ht="63">
      <c r="A84" s="27">
        <v>76</v>
      </c>
      <c r="B84" s="9" t="s">
        <v>120</v>
      </c>
      <c r="C84" s="7" t="s">
        <v>22</v>
      </c>
      <c r="D84" s="85" t="s">
        <v>263</v>
      </c>
      <c r="E84" s="85" t="s">
        <v>240</v>
      </c>
      <c r="F84" s="8" t="s">
        <v>116</v>
      </c>
      <c r="G84" s="10" t="s">
        <v>23</v>
      </c>
      <c r="H84" s="11">
        <v>50</v>
      </c>
      <c r="I84" s="12">
        <f>485/1.12</f>
        <v>433.03571428571422</v>
      </c>
      <c r="J84" s="13">
        <f t="shared" si="2"/>
        <v>21651.78571428571</v>
      </c>
      <c r="K84" s="14" t="s">
        <v>208</v>
      </c>
      <c r="L84" s="7" t="s">
        <v>208</v>
      </c>
      <c r="M84" s="14" t="s">
        <v>15</v>
      </c>
      <c r="N84" s="15">
        <v>0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  <c r="JW84" s="6"/>
      <c r="JX84" s="6"/>
      <c r="JY84" s="6"/>
      <c r="JZ84" s="6"/>
      <c r="KA84" s="6"/>
      <c r="KB84" s="6"/>
      <c r="KC84" s="6"/>
      <c r="KD84" s="6"/>
      <c r="KE84" s="6"/>
      <c r="KF84" s="6"/>
      <c r="KG84" s="6"/>
      <c r="KH84" s="6"/>
      <c r="KI84" s="6"/>
      <c r="KJ84" s="6"/>
      <c r="KK84" s="6"/>
      <c r="KL84" s="6"/>
      <c r="KM84" s="6"/>
      <c r="KN84" s="6"/>
      <c r="KO84" s="6"/>
      <c r="KP84" s="6"/>
      <c r="KQ84" s="6"/>
      <c r="KR84" s="6"/>
      <c r="KS84" s="6"/>
      <c r="KT84" s="6"/>
      <c r="KU84" s="6"/>
      <c r="KV84" s="6"/>
      <c r="KW84" s="6"/>
      <c r="KX84" s="6"/>
      <c r="KY84" s="6"/>
      <c r="KZ84" s="6"/>
      <c r="LA84" s="6"/>
      <c r="LB84" s="6"/>
      <c r="LC84" s="6"/>
      <c r="LD84" s="6"/>
      <c r="LE84" s="6"/>
      <c r="LF84" s="6"/>
      <c r="LG84" s="6"/>
      <c r="LH84" s="6"/>
      <c r="LI84" s="6"/>
      <c r="LJ84" s="6"/>
      <c r="LK84" s="6"/>
      <c r="LL84" s="6"/>
      <c r="LM84" s="6"/>
      <c r="LN84" s="6"/>
      <c r="LO84" s="6"/>
      <c r="LP84" s="6"/>
      <c r="LQ84" s="6"/>
      <c r="LR84" s="6"/>
      <c r="LS84" s="6"/>
      <c r="LT84" s="6"/>
      <c r="LU84" s="6"/>
      <c r="LV84" s="6"/>
      <c r="LW84" s="6"/>
      <c r="LX84" s="6"/>
      <c r="LY84" s="6"/>
      <c r="LZ84" s="6"/>
      <c r="MA84" s="6"/>
      <c r="MB84" s="6"/>
      <c r="MC84" s="6"/>
      <c r="MD84" s="6"/>
      <c r="ME84" s="6"/>
      <c r="MF84" s="6"/>
      <c r="MG84" s="6"/>
      <c r="MH84" s="6"/>
      <c r="MI84" s="6"/>
      <c r="MJ84" s="6"/>
      <c r="MK84" s="6"/>
      <c r="ML84" s="6"/>
      <c r="MM84" s="6"/>
      <c r="MN84" s="6"/>
      <c r="MO84" s="6"/>
      <c r="MP84" s="6"/>
      <c r="MQ84" s="6"/>
      <c r="MR84" s="6"/>
      <c r="MS84" s="6"/>
      <c r="MT84" s="6"/>
      <c r="MU84" s="6"/>
      <c r="MV84" s="6"/>
      <c r="MW84" s="6"/>
      <c r="MX84" s="6"/>
      <c r="MY84" s="6"/>
      <c r="MZ84" s="6"/>
      <c r="NA84" s="6"/>
      <c r="NB84" s="6"/>
      <c r="NC84" s="6"/>
      <c r="ND84" s="6"/>
      <c r="NE84" s="6"/>
      <c r="NF84" s="6"/>
      <c r="NG84" s="6"/>
      <c r="NH84" s="6"/>
      <c r="NI84" s="6"/>
      <c r="NJ84" s="6"/>
      <c r="NK84" s="6"/>
      <c r="NL84" s="6"/>
      <c r="NM84" s="6"/>
      <c r="NN84" s="6"/>
      <c r="NO84" s="6"/>
      <c r="NP84" s="6"/>
      <c r="NQ84" s="6"/>
      <c r="NR84" s="6"/>
      <c r="NS84" s="6"/>
      <c r="NT84" s="6"/>
      <c r="NU84" s="6"/>
      <c r="NV84" s="6"/>
      <c r="NW84" s="6"/>
      <c r="NX84" s="6"/>
      <c r="NY84" s="6"/>
      <c r="NZ84" s="6"/>
      <c r="OA84" s="6"/>
      <c r="OB84" s="6"/>
      <c r="OC84" s="6"/>
      <c r="OD84" s="6"/>
      <c r="OE84" s="6"/>
      <c r="OF84" s="6"/>
      <c r="OG84" s="6"/>
      <c r="OH84" s="6"/>
      <c r="OI84" s="6"/>
      <c r="OJ84" s="6"/>
      <c r="OK84" s="6"/>
      <c r="OL84" s="6"/>
      <c r="OM84" s="6"/>
      <c r="ON84" s="6"/>
      <c r="OO84" s="6"/>
      <c r="OP84" s="6"/>
      <c r="OQ84" s="6"/>
      <c r="OR84" s="6"/>
      <c r="OS84" s="6"/>
      <c r="OT84" s="6"/>
      <c r="OU84" s="6"/>
      <c r="OV84" s="6"/>
      <c r="OW84" s="6"/>
      <c r="OX84" s="6"/>
      <c r="OY84" s="6"/>
      <c r="OZ84" s="6"/>
      <c r="PA84" s="6"/>
      <c r="PB84" s="6"/>
      <c r="PC84" s="6"/>
      <c r="PD84" s="6"/>
      <c r="PE84" s="6"/>
      <c r="PF84" s="6"/>
      <c r="PG84" s="6"/>
      <c r="PH84" s="6"/>
      <c r="PI84" s="6"/>
      <c r="PJ84" s="6"/>
      <c r="PK84" s="6"/>
      <c r="PL84" s="6"/>
      <c r="PM84" s="6"/>
      <c r="PN84" s="6"/>
      <c r="PO84" s="6"/>
      <c r="PP84" s="6"/>
      <c r="PQ84" s="6"/>
      <c r="PR84" s="6"/>
      <c r="PS84" s="6"/>
      <c r="PT84" s="6"/>
      <c r="PU84" s="6"/>
      <c r="PV84" s="6"/>
      <c r="PW84" s="6"/>
      <c r="PX84" s="6"/>
    </row>
    <row r="85" spans="1:440" s="4" customFormat="1" ht="63">
      <c r="A85" s="27">
        <v>77</v>
      </c>
      <c r="B85" s="9" t="s">
        <v>120</v>
      </c>
      <c r="C85" s="7" t="s">
        <v>22</v>
      </c>
      <c r="D85" s="85" t="s">
        <v>264</v>
      </c>
      <c r="E85" s="85" t="s">
        <v>241</v>
      </c>
      <c r="F85" s="8" t="s">
        <v>116</v>
      </c>
      <c r="G85" s="10" t="s">
        <v>23</v>
      </c>
      <c r="H85" s="11">
        <v>20</v>
      </c>
      <c r="I85" s="12">
        <f>120/1.12</f>
        <v>107.14285714285714</v>
      </c>
      <c r="J85" s="13">
        <f t="shared" si="2"/>
        <v>2142.8571428571427</v>
      </c>
      <c r="K85" s="14" t="s">
        <v>208</v>
      </c>
      <c r="L85" s="7" t="s">
        <v>208</v>
      </c>
      <c r="M85" s="14" t="s">
        <v>15</v>
      </c>
      <c r="N85" s="15">
        <v>0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  <c r="JV85" s="6"/>
      <c r="JW85" s="6"/>
      <c r="JX85" s="6"/>
      <c r="JY85" s="6"/>
      <c r="JZ85" s="6"/>
      <c r="KA85" s="6"/>
      <c r="KB85" s="6"/>
      <c r="KC85" s="6"/>
      <c r="KD85" s="6"/>
      <c r="KE85" s="6"/>
      <c r="KF85" s="6"/>
      <c r="KG85" s="6"/>
      <c r="KH85" s="6"/>
      <c r="KI85" s="6"/>
      <c r="KJ85" s="6"/>
      <c r="KK85" s="6"/>
      <c r="KL85" s="6"/>
      <c r="KM85" s="6"/>
      <c r="KN85" s="6"/>
      <c r="KO85" s="6"/>
      <c r="KP85" s="6"/>
      <c r="KQ85" s="6"/>
      <c r="KR85" s="6"/>
      <c r="KS85" s="6"/>
      <c r="KT85" s="6"/>
      <c r="KU85" s="6"/>
      <c r="KV85" s="6"/>
      <c r="KW85" s="6"/>
      <c r="KX85" s="6"/>
      <c r="KY85" s="6"/>
      <c r="KZ85" s="6"/>
      <c r="LA85" s="6"/>
      <c r="LB85" s="6"/>
      <c r="LC85" s="6"/>
      <c r="LD85" s="6"/>
      <c r="LE85" s="6"/>
      <c r="LF85" s="6"/>
      <c r="LG85" s="6"/>
      <c r="LH85" s="6"/>
      <c r="LI85" s="6"/>
      <c r="LJ85" s="6"/>
      <c r="LK85" s="6"/>
      <c r="LL85" s="6"/>
      <c r="LM85" s="6"/>
      <c r="LN85" s="6"/>
      <c r="LO85" s="6"/>
      <c r="LP85" s="6"/>
      <c r="LQ85" s="6"/>
      <c r="LR85" s="6"/>
      <c r="LS85" s="6"/>
      <c r="LT85" s="6"/>
      <c r="LU85" s="6"/>
      <c r="LV85" s="6"/>
      <c r="LW85" s="6"/>
      <c r="LX85" s="6"/>
      <c r="LY85" s="6"/>
      <c r="LZ85" s="6"/>
      <c r="MA85" s="6"/>
      <c r="MB85" s="6"/>
      <c r="MC85" s="6"/>
      <c r="MD85" s="6"/>
      <c r="ME85" s="6"/>
      <c r="MF85" s="6"/>
      <c r="MG85" s="6"/>
      <c r="MH85" s="6"/>
      <c r="MI85" s="6"/>
      <c r="MJ85" s="6"/>
      <c r="MK85" s="6"/>
      <c r="ML85" s="6"/>
      <c r="MM85" s="6"/>
      <c r="MN85" s="6"/>
      <c r="MO85" s="6"/>
      <c r="MP85" s="6"/>
      <c r="MQ85" s="6"/>
      <c r="MR85" s="6"/>
      <c r="MS85" s="6"/>
      <c r="MT85" s="6"/>
      <c r="MU85" s="6"/>
      <c r="MV85" s="6"/>
      <c r="MW85" s="6"/>
      <c r="MX85" s="6"/>
      <c r="MY85" s="6"/>
      <c r="MZ85" s="6"/>
      <c r="NA85" s="6"/>
      <c r="NB85" s="6"/>
      <c r="NC85" s="6"/>
      <c r="ND85" s="6"/>
      <c r="NE85" s="6"/>
      <c r="NF85" s="6"/>
      <c r="NG85" s="6"/>
      <c r="NH85" s="6"/>
      <c r="NI85" s="6"/>
      <c r="NJ85" s="6"/>
      <c r="NK85" s="6"/>
      <c r="NL85" s="6"/>
      <c r="NM85" s="6"/>
      <c r="NN85" s="6"/>
      <c r="NO85" s="6"/>
      <c r="NP85" s="6"/>
      <c r="NQ85" s="6"/>
      <c r="NR85" s="6"/>
      <c r="NS85" s="6"/>
      <c r="NT85" s="6"/>
      <c r="NU85" s="6"/>
      <c r="NV85" s="6"/>
      <c r="NW85" s="6"/>
      <c r="NX85" s="6"/>
      <c r="NY85" s="6"/>
      <c r="NZ85" s="6"/>
      <c r="OA85" s="6"/>
      <c r="OB85" s="6"/>
      <c r="OC85" s="6"/>
      <c r="OD85" s="6"/>
      <c r="OE85" s="6"/>
      <c r="OF85" s="6"/>
      <c r="OG85" s="6"/>
      <c r="OH85" s="6"/>
      <c r="OI85" s="6"/>
      <c r="OJ85" s="6"/>
      <c r="OK85" s="6"/>
      <c r="OL85" s="6"/>
      <c r="OM85" s="6"/>
      <c r="ON85" s="6"/>
      <c r="OO85" s="6"/>
      <c r="OP85" s="6"/>
      <c r="OQ85" s="6"/>
      <c r="OR85" s="6"/>
      <c r="OS85" s="6"/>
      <c r="OT85" s="6"/>
      <c r="OU85" s="6"/>
      <c r="OV85" s="6"/>
      <c r="OW85" s="6"/>
      <c r="OX85" s="6"/>
      <c r="OY85" s="6"/>
      <c r="OZ85" s="6"/>
      <c r="PA85" s="6"/>
      <c r="PB85" s="6"/>
      <c r="PC85" s="6"/>
      <c r="PD85" s="6"/>
      <c r="PE85" s="6"/>
      <c r="PF85" s="6"/>
      <c r="PG85" s="6"/>
      <c r="PH85" s="6"/>
      <c r="PI85" s="6"/>
      <c r="PJ85" s="6"/>
      <c r="PK85" s="6"/>
      <c r="PL85" s="6"/>
      <c r="PM85" s="6"/>
      <c r="PN85" s="6"/>
      <c r="PO85" s="6"/>
      <c r="PP85" s="6"/>
      <c r="PQ85" s="6"/>
      <c r="PR85" s="6"/>
      <c r="PS85" s="6"/>
      <c r="PT85" s="6"/>
      <c r="PU85" s="6"/>
      <c r="PV85" s="6"/>
      <c r="PW85" s="6"/>
      <c r="PX85" s="6"/>
    </row>
    <row r="86" spans="1:440" s="4" customFormat="1" ht="63">
      <c r="A86" s="27">
        <v>78</v>
      </c>
      <c r="B86" s="9" t="s">
        <v>120</v>
      </c>
      <c r="C86" s="7" t="s">
        <v>22</v>
      </c>
      <c r="D86" s="85" t="s">
        <v>265</v>
      </c>
      <c r="E86" s="85" t="s">
        <v>242</v>
      </c>
      <c r="F86" s="8" t="s">
        <v>116</v>
      </c>
      <c r="G86" s="10" t="s">
        <v>23</v>
      </c>
      <c r="H86" s="11">
        <v>20</v>
      </c>
      <c r="I86" s="12">
        <f>270/1.12</f>
        <v>241.07142857142856</v>
      </c>
      <c r="J86" s="13">
        <f t="shared" si="2"/>
        <v>4821.4285714285706</v>
      </c>
      <c r="K86" s="14" t="s">
        <v>208</v>
      </c>
      <c r="L86" s="7" t="s">
        <v>208</v>
      </c>
      <c r="M86" s="14" t="s">
        <v>15</v>
      </c>
      <c r="N86" s="15">
        <v>0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  <c r="JN86" s="6"/>
      <c r="JO86" s="6"/>
      <c r="JP86" s="6"/>
      <c r="JQ86" s="6"/>
      <c r="JR86" s="6"/>
      <c r="JS86" s="6"/>
      <c r="JT86" s="6"/>
      <c r="JU86" s="6"/>
      <c r="JV86" s="6"/>
      <c r="JW86" s="6"/>
      <c r="JX86" s="6"/>
      <c r="JY86" s="6"/>
      <c r="JZ86" s="6"/>
      <c r="KA86" s="6"/>
      <c r="KB86" s="6"/>
      <c r="KC86" s="6"/>
      <c r="KD86" s="6"/>
      <c r="KE86" s="6"/>
      <c r="KF86" s="6"/>
      <c r="KG86" s="6"/>
      <c r="KH86" s="6"/>
      <c r="KI86" s="6"/>
      <c r="KJ86" s="6"/>
      <c r="KK86" s="6"/>
      <c r="KL86" s="6"/>
      <c r="KM86" s="6"/>
      <c r="KN86" s="6"/>
      <c r="KO86" s="6"/>
      <c r="KP86" s="6"/>
      <c r="KQ86" s="6"/>
      <c r="KR86" s="6"/>
      <c r="KS86" s="6"/>
      <c r="KT86" s="6"/>
      <c r="KU86" s="6"/>
      <c r="KV86" s="6"/>
      <c r="KW86" s="6"/>
      <c r="KX86" s="6"/>
      <c r="KY86" s="6"/>
      <c r="KZ86" s="6"/>
      <c r="LA86" s="6"/>
      <c r="LB86" s="6"/>
      <c r="LC86" s="6"/>
      <c r="LD86" s="6"/>
      <c r="LE86" s="6"/>
      <c r="LF86" s="6"/>
      <c r="LG86" s="6"/>
      <c r="LH86" s="6"/>
      <c r="LI86" s="6"/>
      <c r="LJ86" s="6"/>
      <c r="LK86" s="6"/>
      <c r="LL86" s="6"/>
      <c r="LM86" s="6"/>
      <c r="LN86" s="6"/>
      <c r="LO86" s="6"/>
      <c r="LP86" s="6"/>
      <c r="LQ86" s="6"/>
      <c r="LR86" s="6"/>
      <c r="LS86" s="6"/>
      <c r="LT86" s="6"/>
      <c r="LU86" s="6"/>
      <c r="LV86" s="6"/>
      <c r="LW86" s="6"/>
      <c r="LX86" s="6"/>
      <c r="LY86" s="6"/>
      <c r="LZ86" s="6"/>
      <c r="MA86" s="6"/>
      <c r="MB86" s="6"/>
      <c r="MC86" s="6"/>
      <c r="MD86" s="6"/>
      <c r="ME86" s="6"/>
      <c r="MF86" s="6"/>
      <c r="MG86" s="6"/>
      <c r="MH86" s="6"/>
      <c r="MI86" s="6"/>
      <c r="MJ86" s="6"/>
      <c r="MK86" s="6"/>
      <c r="ML86" s="6"/>
      <c r="MM86" s="6"/>
      <c r="MN86" s="6"/>
      <c r="MO86" s="6"/>
      <c r="MP86" s="6"/>
      <c r="MQ86" s="6"/>
      <c r="MR86" s="6"/>
      <c r="MS86" s="6"/>
      <c r="MT86" s="6"/>
      <c r="MU86" s="6"/>
      <c r="MV86" s="6"/>
      <c r="MW86" s="6"/>
      <c r="MX86" s="6"/>
      <c r="MY86" s="6"/>
      <c r="MZ86" s="6"/>
      <c r="NA86" s="6"/>
      <c r="NB86" s="6"/>
      <c r="NC86" s="6"/>
      <c r="ND86" s="6"/>
      <c r="NE86" s="6"/>
      <c r="NF86" s="6"/>
      <c r="NG86" s="6"/>
      <c r="NH86" s="6"/>
      <c r="NI86" s="6"/>
      <c r="NJ86" s="6"/>
      <c r="NK86" s="6"/>
      <c r="NL86" s="6"/>
      <c r="NM86" s="6"/>
      <c r="NN86" s="6"/>
      <c r="NO86" s="6"/>
      <c r="NP86" s="6"/>
      <c r="NQ86" s="6"/>
      <c r="NR86" s="6"/>
      <c r="NS86" s="6"/>
      <c r="NT86" s="6"/>
      <c r="NU86" s="6"/>
      <c r="NV86" s="6"/>
      <c r="NW86" s="6"/>
      <c r="NX86" s="6"/>
      <c r="NY86" s="6"/>
      <c r="NZ86" s="6"/>
      <c r="OA86" s="6"/>
      <c r="OB86" s="6"/>
      <c r="OC86" s="6"/>
      <c r="OD86" s="6"/>
      <c r="OE86" s="6"/>
      <c r="OF86" s="6"/>
      <c r="OG86" s="6"/>
      <c r="OH86" s="6"/>
      <c r="OI86" s="6"/>
      <c r="OJ86" s="6"/>
      <c r="OK86" s="6"/>
      <c r="OL86" s="6"/>
      <c r="OM86" s="6"/>
      <c r="ON86" s="6"/>
      <c r="OO86" s="6"/>
      <c r="OP86" s="6"/>
      <c r="OQ86" s="6"/>
      <c r="OR86" s="6"/>
      <c r="OS86" s="6"/>
      <c r="OT86" s="6"/>
      <c r="OU86" s="6"/>
      <c r="OV86" s="6"/>
      <c r="OW86" s="6"/>
      <c r="OX86" s="6"/>
      <c r="OY86" s="6"/>
      <c r="OZ86" s="6"/>
      <c r="PA86" s="6"/>
      <c r="PB86" s="6"/>
      <c r="PC86" s="6"/>
      <c r="PD86" s="6"/>
      <c r="PE86" s="6"/>
      <c r="PF86" s="6"/>
      <c r="PG86" s="6"/>
      <c r="PH86" s="6"/>
      <c r="PI86" s="6"/>
      <c r="PJ86" s="6"/>
      <c r="PK86" s="6"/>
      <c r="PL86" s="6"/>
      <c r="PM86" s="6"/>
      <c r="PN86" s="6"/>
      <c r="PO86" s="6"/>
      <c r="PP86" s="6"/>
      <c r="PQ86" s="6"/>
      <c r="PR86" s="6"/>
      <c r="PS86" s="6"/>
      <c r="PT86" s="6"/>
      <c r="PU86" s="6"/>
      <c r="PV86" s="6"/>
      <c r="PW86" s="6"/>
      <c r="PX86" s="6"/>
    </row>
    <row r="87" spans="1:440" s="4" customFormat="1" ht="63">
      <c r="A87" s="27">
        <v>79</v>
      </c>
      <c r="B87" s="9" t="s">
        <v>120</v>
      </c>
      <c r="C87" s="7" t="s">
        <v>22</v>
      </c>
      <c r="D87" s="85" t="s">
        <v>243</v>
      </c>
      <c r="E87" s="85" t="s">
        <v>243</v>
      </c>
      <c r="F87" s="8" t="s">
        <v>116</v>
      </c>
      <c r="G87" s="10" t="s">
        <v>23</v>
      </c>
      <c r="H87" s="11">
        <v>50</v>
      </c>
      <c r="I87" s="12">
        <f>520/1.12</f>
        <v>464.28571428571422</v>
      </c>
      <c r="J87" s="13">
        <f t="shared" si="2"/>
        <v>23214.28571428571</v>
      </c>
      <c r="K87" s="14" t="s">
        <v>208</v>
      </c>
      <c r="L87" s="7" t="s">
        <v>208</v>
      </c>
      <c r="M87" s="14" t="s">
        <v>15</v>
      </c>
      <c r="N87" s="15">
        <v>0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  <c r="JI87" s="6"/>
      <c r="JJ87" s="6"/>
      <c r="JK87" s="6"/>
      <c r="JL87" s="6"/>
      <c r="JM87" s="6"/>
      <c r="JN87" s="6"/>
      <c r="JO87" s="6"/>
      <c r="JP87" s="6"/>
      <c r="JQ87" s="6"/>
      <c r="JR87" s="6"/>
      <c r="JS87" s="6"/>
      <c r="JT87" s="6"/>
      <c r="JU87" s="6"/>
      <c r="JV87" s="6"/>
      <c r="JW87" s="6"/>
      <c r="JX87" s="6"/>
      <c r="JY87" s="6"/>
      <c r="JZ87" s="6"/>
      <c r="KA87" s="6"/>
      <c r="KB87" s="6"/>
      <c r="KC87" s="6"/>
      <c r="KD87" s="6"/>
      <c r="KE87" s="6"/>
      <c r="KF87" s="6"/>
      <c r="KG87" s="6"/>
      <c r="KH87" s="6"/>
      <c r="KI87" s="6"/>
      <c r="KJ87" s="6"/>
      <c r="KK87" s="6"/>
      <c r="KL87" s="6"/>
      <c r="KM87" s="6"/>
      <c r="KN87" s="6"/>
      <c r="KO87" s="6"/>
      <c r="KP87" s="6"/>
      <c r="KQ87" s="6"/>
      <c r="KR87" s="6"/>
      <c r="KS87" s="6"/>
      <c r="KT87" s="6"/>
      <c r="KU87" s="6"/>
      <c r="KV87" s="6"/>
      <c r="KW87" s="6"/>
      <c r="KX87" s="6"/>
      <c r="KY87" s="6"/>
      <c r="KZ87" s="6"/>
      <c r="LA87" s="6"/>
      <c r="LB87" s="6"/>
      <c r="LC87" s="6"/>
      <c r="LD87" s="6"/>
      <c r="LE87" s="6"/>
      <c r="LF87" s="6"/>
      <c r="LG87" s="6"/>
      <c r="LH87" s="6"/>
      <c r="LI87" s="6"/>
      <c r="LJ87" s="6"/>
      <c r="LK87" s="6"/>
      <c r="LL87" s="6"/>
      <c r="LM87" s="6"/>
      <c r="LN87" s="6"/>
      <c r="LO87" s="6"/>
      <c r="LP87" s="6"/>
      <c r="LQ87" s="6"/>
      <c r="LR87" s="6"/>
      <c r="LS87" s="6"/>
      <c r="LT87" s="6"/>
      <c r="LU87" s="6"/>
      <c r="LV87" s="6"/>
      <c r="LW87" s="6"/>
      <c r="LX87" s="6"/>
      <c r="LY87" s="6"/>
      <c r="LZ87" s="6"/>
      <c r="MA87" s="6"/>
      <c r="MB87" s="6"/>
      <c r="MC87" s="6"/>
      <c r="MD87" s="6"/>
      <c r="ME87" s="6"/>
      <c r="MF87" s="6"/>
      <c r="MG87" s="6"/>
      <c r="MH87" s="6"/>
      <c r="MI87" s="6"/>
      <c r="MJ87" s="6"/>
      <c r="MK87" s="6"/>
      <c r="ML87" s="6"/>
      <c r="MM87" s="6"/>
      <c r="MN87" s="6"/>
      <c r="MO87" s="6"/>
      <c r="MP87" s="6"/>
      <c r="MQ87" s="6"/>
      <c r="MR87" s="6"/>
      <c r="MS87" s="6"/>
      <c r="MT87" s="6"/>
      <c r="MU87" s="6"/>
      <c r="MV87" s="6"/>
      <c r="MW87" s="6"/>
      <c r="MX87" s="6"/>
      <c r="MY87" s="6"/>
      <c r="MZ87" s="6"/>
      <c r="NA87" s="6"/>
      <c r="NB87" s="6"/>
      <c r="NC87" s="6"/>
      <c r="ND87" s="6"/>
      <c r="NE87" s="6"/>
      <c r="NF87" s="6"/>
      <c r="NG87" s="6"/>
      <c r="NH87" s="6"/>
      <c r="NI87" s="6"/>
      <c r="NJ87" s="6"/>
      <c r="NK87" s="6"/>
      <c r="NL87" s="6"/>
      <c r="NM87" s="6"/>
      <c r="NN87" s="6"/>
      <c r="NO87" s="6"/>
      <c r="NP87" s="6"/>
      <c r="NQ87" s="6"/>
      <c r="NR87" s="6"/>
      <c r="NS87" s="6"/>
      <c r="NT87" s="6"/>
      <c r="NU87" s="6"/>
      <c r="NV87" s="6"/>
      <c r="NW87" s="6"/>
      <c r="NX87" s="6"/>
      <c r="NY87" s="6"/>
      <c r="NZ87" s="6"/>
      <c r="OA87" s="6"/>
      <c r="OB87" s="6"/>
      <c r="OC87" s="6"/>
      <c r="OD87" s="6"/>
      <c r="OE87" s="6"/>
      <c r="OF87" s="6"/>
      <c r="OG87" s="6"/>
      <c r="OH87" s="6"/>
      <c r="OI87" s="6"/>
      <c r="OJ87" s="6"/>
      <c r="OK87" s="6"/>
      <c r="OL87" s="6"/>
      <c r="OM87" s="6"/>
      <c r="ON87" s="6"/>
      <c r="OO87" s="6"/>
      <c r="OP87" s="6"/>
      <c r="OQ87" s="6"/>
      <c r="OR87" s="6"/>
      <c r="OS87" s="6"/>
      <c r="OT87" s="6"/>
      <c r="OU87" s="6"/>
      <c r="OV87" s="6"/>
      <c r="OW87" s="6"/>
      <c r="OX87" s="6"/>
      <c r="OY87" s="6"/>
      <c r="OZ87" s="6"/>
      <c r="PA87" s="6"/>
      <c r="PB87" s="6"/>
      <c r="PC87" s="6"/>
      <c r="PD87" s="6"/>
      <c r="PE87" s="6"/>
      <c r="PF87" s="6"/>
      <c r="PG87" s="6"/>
      <c r="PH87" s="6"/>
      <c r="PI87" s="6"/>
      <c r="PJ87" s="6"/>
      <c r="PK87" s="6"/>
      <c r="PL87" s="6"/>
      <c r="PM87" s="6"/>
      <c r="PN87" s="6"/>
      <c r="PO87" s="6"/>
      <c r="PP87" s="6"/>
      <c r="PQ87" s="6"/>
      <c r="PR87" s="6"/>
      <c r="PS87" s="6"/>
      <c r="PT87" s="6"/>
      <c r="PU87" s="6"/>
      <c r="PV87" s="6"/>
      <c r="PW87" s="6"/>
      <c r="PX87" s="6"/>
    </row>
    <row r="88" spans="1:440" s="4" customFormat="1" ht="63">
      <c r="A88" s="27">
        <v>80</v>
      </c>
      <c r="B88" s="9" t="s">
        <v>120</v>
      </c>
      <c r="C88" s="7" t="s">
        <v>22</v>
      </c>
      <c r="D88" s="85" t="s">
        <v>244</v>
      </c>
      <c r="E88" s="85" t="s">
        <v>244</v>
      </c>
      <c r="F88" s="8" t="s">
        <v>116</v>
      </c>
      <c r="G88" s="10" t="s">
        <v>23</v>
      </c>
      <c r="H88" s="11">
        <v>50</v>
      </c>
      <c r="I88" s="12">
        <f>525/1.12</f>
        <v>468.74999999999994</v>
      </c>
      <c r="J88" s="13">
        <f t="shared" si="2"/>
        <v>23437.499999999996</v>
      </c>
      <c r="K88" s="14" t="s">
        <v>208</v>
      </c>
      <c r="L88" s="7" t="s">
        <v>208</v>
      </c>
      <c r="M88" s="14" t="s">
        <v>15</v>
      </c>
      <c r="N88" s="15">
        <v>0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  <c r="JI88" s="6"/>
      <c r="JJ88" s="6"/>
      <c r="JK88" s="6"/>
      <c r="JL88" s="6"/>
      <c r="JM88" s="6"/>
      <c r="JN88" s="6"/>
      <c r="JO88" s="6"/>
      <c r="JP88" s="6"/>
      <c r="JQ88" s="6"/>
      <c r="JR88" s="6"/>
      <c r="JS88" s="6"/>
      <c r="JT88" s="6"/>
      <c r="JU88" s="6"/>
      <c r="JV88" s="6"/>
      <c r="JW88" s="6"/>
      <c r="JX88" s="6"/>
      <c r="JY88" s="6"/>
      <c r="JZ88" s="6"/>
      <c r="KA88" s="6"/>
      <c r="KB88" s="6"/>
      <c r="KC88" s="6"/>
      <c r="KD88" s="6"/>
      <c r="KE88" s="6"/>
      <c r="KF88" s="6"/>
      <c r="KG88" s="6"/>
      <c r="KH88" s="6"/>
      <c r="KI88" s="6"/>
      <c r="KJ88" s="6"/>
      <c r="KK88" s="6"/>
      <c r="KL88" s="6"/>
      <c r="KM88" s="6"/>
      <c r="KN88" s="6"/>
      <c r="KO88" s="6"/>
      <c r="KP88" s="6"/>
      <c r="KQ88" s="6"/>
      <c r="KR88" s="6"/>
      <c r="KS88" s="6"/>
      <c r="KT88" s="6"/>
      <c r="KU88" s="6"/>
      <c r="KV88" s="6"/>
      <c r="KW88" s="6"/>
      <c r="KX88" s="6"/>
      <c r="KY88" s="6"/>
      <c r="KZ88" s="6"/>
      <c r="LA88" s="6"/>
      <c r="LB88" s="6"/>
      <c r="LC88" s="6"/>
      <c r="LD88" s="6"/>
      <c r="LE88" s="6"/>
      <c r="LF88" s="6"/>
      <c r="LG88" s="6"/>
      <c r="LH88" s="6"/>
      <c r="LI88" s="6"/>
      <c r="LJ88" s="6"/>
      <c r="LK88" s="6"/>
      <c r="LL88" s="6"/>
      <c r="LM88" s="6"/>
      <c r="LN88" s="6"/>
      <c r="LO88" s="6"/>
      <c r="LP88" s="6"/>
      <c r="LQ88" s="6"/>
      <c r="LR88" s="6"/>
      <c r="LS88" s="6"/>
      <c r="LT88" s="6"/>
      <c r="LU88" s="6"/>
      <c r="LV88" s="6"/>
      <c r="LW88" s="6"/>
      <c r="LX88" s="6"/>
      <c r="LY88" s="6"/>
      <c r="LZ88" s="6"/>
      <c r="MA88" s="6"/>
      <c r="MB88" s="6"/>
      <c r="MC88" s="6"/>
      <c r="MD88" s="6"/>
      <c r="ME88" s="6"/>
      <c r="MF88" s="6"/>
      <c r="MG88" s="6"/>
      <c r="MH88" s="6"/>
      <c r="MI88" s="6"/>
      <c r="MJ88" s="6"/>
      <c r="MK88" s="6"/>
      <c r="ML88" s="6"/>
      <c r="MM88" s="6"/>
      <c r="MN88" s="6"/>
      <c r="MO88" s="6"/>
      <c r="MP88" s="6"/>
      <c r="MQ88" s="6"/>
      <c r="MR88" s="6"/>
      <c r="MS88" s="6"/>
      <c r="MT88" s="6"/>
      <c r="MU88" s="6"/>
      <c r="MV88" s="6"/>
      <c r="MW88" s="6"/>
      <c r="MX88" s="6"/>
      <c r="MY88" s="6"/>
      <c r="MZ88" s="6"/>
      <c r="NA88" s="6"/>
      <c r="NB88" s="6"/>
      <c r="NC88" s="6"/>
      <c r="ND88" s="6"/>
      <c r="NE88" s="6"/>
      <c r="NF88" s="6"/>
      <c r="NG88" s="6"/>
      <c r="NH88" s="6"/>
      <c r="NI88" s="6"/>
      <c r="NJ88" s="6"/>
      <c r="NK88" s="6"/>
      <c r="NL88" s="6"/>
      <c r="NM88" s="6"/>
      <c r="NN88" s="6"/>
      <c r="NO88" s="6"/>
      <c r="NP88" s="6"/>
      <c r="NQ88" s="6"/>
      <c r="NR88" s="6"/>
      <c r="NS88" s="6"/>
      <c r="NT88" s="6"/>
      <c r="NU88" s="6"/>
      <c r="NV88" s="6"/>
      <c r="NW88" s="6"/>
      <c r="NX88" s="6"/>
      <c r="NY88" s="6"/>
      <c r="NZ88" s="6"/>
      <c r="OA88" s="6"/>
      <c r="OB88" s="6"/>
      <c r="OC88" s="6"/>
      <c r="OD88" s="6"/>
      <c r="OE88" s="6"/>
      <c r="OF88" s="6"/>
      <c r="OG88" s="6"/>
      <c r="OH88" s="6"/>
      <c r="OI88" s="6"/>
      <c r="OJ88" s="6"/>
      <c r="OK88" s="6"/>
      <c r="OL88" s="6"/>
      <c r="OM88" s="6"/>
      <c r="ON88" s="6"/>
      <c r="OO88" s="6"/>
      <c r="OP88" s="6"/>
      <c r="OQ88" s="6"/>
      <c r="OR88" s="6"/>
      <c r="OS88" s="6"/>
      <c r="OT88" s="6"/>
      <c r="OU88" s="6"/>
      <c r="OV88" s="6"/>
      <c r="OW88" s="6"/>
      <c r="OX88" s="6"/>
      <c r="OY88" s="6"/>
      <c r="OZ88" s="6"/>
      <c r="PA88" s="6"/>
      <c r="PB88" s="6"/>
      <c r="PC88" s="6"/>
      <c r="PD88" s="6"/>
      <c r="PE88" s="6"/>
      <c r="PF88" s="6"/>
      <c r="PG88" s="6"/>
      <c r="PH88" s="6"/>
      <c r="PI88" s="6"/>
      <c r="PJ88" s="6"/>
      <c r="PK88" s="6"/>
      <c r="PL88" s="6"/>
      <c r="PM88" s="6"/>
      <c r="PN88" s="6"/>
      <c r="PO88" s="6"/>
      <c r="PP88" s="6"/>
      <c r="PQ88" s="6"/>
      <c r="PR88" s="6"/>
      <c r="PS88" s="6"/>
      <c r="PT88" s="6"/>
      <c r="PU88" s="6"/>
      <c r="PV88" s="6"/>
      <c r="PW88" s="6"/>
      <c r="PX88" s="6"/>
    </row>
    <row r="89" spans="1:440" s="4" customFormat="1" ht="63">
      <c r="A89" s="27">
        <v>81</v>
      </c>
      <c r="B89" s="9" t="s">
        <v>120</v>
      </c>
      <c r="C89" s="7" t="s">
        <v>22</v>
      </c>
      <c r="D89" s="85" t="s">
        <v>266</v>
      </c>
      <c r="E89" s="85" t="s">
        <v>245</v>
      </c>
      <c r="F89" s="8" t="s">
        <v>116</v>
      </c>
      <c r="G89" s="10" t="s">
        <v>23</v>
      </c>
      <c r="H89" s="11">
        <v>20</v>
      </c>
      <c r="I89" s="12">
        <f>80/1.12</f>
        <v>71.428571428571416</v>
      </c>
      <c r="J89" s="13">
        <f t="shared" si="2"/>
        <v>1428.5714285714284</v>
      </c>
      <c r="K89" s="14" t="s">
        <v>208</v>
      </c>
      <c r="L89" s="7" t="s">
        <v>208</v>
      </c>
      <c r="M89" s="14" t="s">
        <v>15</v>
      </c>
      <c r="N89" s="15">
        <v>0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/>
      <c r="JJ89" s="6"/>
      <c r="JK89" s="6"/>
      <c r="JL89" s="6"/>
      <c r="JM89" s="6"/>
      <c r="JN89" s="6"/>
      <c r="JO89" s="6"/>
      <c r="JP89" s="6"/>
      <c r="JQ89" s="6"/>
      <c r="JR89" s="6"/>
      <c r="JS89" s="6"/>
      <c r="JT89" s="6"/>
      <c r="JU89" s="6"/>
      <c r="JV89" s="6"/>
      <c r="JW89" s="6"/>
      <c r="JX89" s="6"/>
      <c r="JY89" s="6"/>
      <c r="JZ89" s="6"/>
      <c r="KA89" s="6"/>
      <c r="KB89" s="6"/>
      <c r="KC89" s="6"/>
      <c r="KD89" s="6"/>
      <c r="KE89" s="6"/>
      <c r="KF89" s="6"/>
      <c r="KG89" s="6"/>
      <c r="KH89" s="6"/>
      <c r="KI89" s="6"/>
      <c r="KJ89" s="6"/>
      <c r="KK89" s="6"/>
      <c r="KL89" s="6"/>
      <c r="KM89" s="6"/>
      <c r="KN89" s="6"/>
      <c r="KO89" s="6"/>
      <c r="KP89" s="6"/>
      <c r="KQ89" s="6"/>
      <c r="KR89" s="6"/>
      <c r="KS89" s="6"/>
      <c r="KT89" s="6"/>
      <c r="KU89" s="6"/>
      <c r="KV89" s="6"/>
      <c r="KW89" s="6"/>
      <c r="KX89" s="6"/>
      <c r="KY89" s="6"/>
      <c r="KZ89" s="6"/>
      <c r="LA89" s="6"/>
      <c r="LB89" s="6"/>
      <c r="LC89" s="6"/>
      <c r="LD89" s="6"/>
      <c r="LE89" s="6"/>
      <c r="LF89" s="6"/>
      <c r="LG89" s="6"/>
      <c r="LH89" s="6"/>
      <c r="LI89" s="6"/>
      <c r="LJ89" s="6"/>
      <c r="LK89" s="6"/>
      <c r="LL89" s="6"/>
      <c r="LM89" s="6"/>
      <c r="LN89" s="6"/>
      <c r="LO89" s="6"/>
      <c r="LP89" s="6"/>
      <c r="LQ89" s="6"/>
      <c r="LR89" s="6"/>
      <c r="LS89" s="6"/>
      <c r="LT89" s="6"/>
      <c r="LU89" s="6"/>
      <c r="LV89" s="6"/>
      <c r="LW89" s="6"/>
      <c r="LX89" s="6"/>
      <c r="LY89" s="6"/>
      <c r="LZ89" s="6"/>
      <c r="MA89" s="6"/>
      <c r="MB89" s="6"/>
      <c r="MC89" s="6"/>
      <c r="MD89" s="6"/>
      <c r="ME89" s="6"/>
      <c r="MF89" s="6"/>
      <c r="MG89" s="6"/>
      <c r="MH89" s="6"/>
      <c r="MI89" s="6"/>
      <c r="MJ89" s="6"/>
      <c r="MK89" s="6"/>
      <c r="ML89" s="6"/>
      <c r="MM89" s="6"/>
      <c r="MN89" s="6"/>
      <c r="MO89" s="6"/>
      <c r="MP89" s="6"/>
      <c r="MQ89" s="6"/>
      <c r="MR89" s="6"/>
      <c r="MS89" s="6"/>
      <c r="MT89" s="6"/>
      <c r="MU89" s="6"/>
      <c r="MV89" s="6"/>
      <c r="MW89" s="6"/>
      <c r="MX89" s="6"/>
      <c r="MY89" s="6"/>
      <c r="MZ89" s="6"/>
      <c r="NA89" s="6"/>
      <c r="NB89" s="6"/>
      <c r="NC89" s="6"/>
      <c r="ND89" s="6"/>
      <c r="NE89" s="6"/>
      <c r="NF89" s="6"/>
      <c r="NG89" s="6"/>
      <c r="NH89" s="6"/>
      <c r="NI89" s="6"/>
      <c r="NJ89" s="6"/>
      <c r="NK89" s="6"/>
      <c r="NL89" s="6"/>
      <c r="NM89" s="6"/>
      <c r="NN89" s="6"/>
      <c r="NO89" s="6"/>
      <c r="NP89" s="6"/>
      <c r="NQ89" s="6"/>
      <c r="NR89" s="6"/>
      <c r="NS89" s="6"/>
      <c r="NT89" s="6"/>
      <c r="NU89" s="6"/>
      <c r="NV89" s="6"/>
      <c r="NW89" s="6"/>
      <c r="NX89" s="6"/>
      <c r="NY89" s="6"/>
      <c r="NZ89" s="6"/>
      <c r="OA89" s="6"/>
      <c r="OB89" s="6"/>
      <c r="OC89" s="6"/>
      <c r="OD89" s="6"/>
      <c r="OE89" s="6"/>
      <c r="OF89" s="6"/>
      <c r="OG89" s="6"/>
      <c r="OH89" s="6"/>
      <c r="OI89" s="6"/>
      <c r="OJ89" s="6"/>
      <c r="OK89" s="6"/>
      <c r="OL89" s="6"/>
      <c r="OM89" s="6"/>
      <c r="ON89" s="6"/>
      <c r="OO89" s="6"/>
      <c r="OP89" s="6"/>
      <c r="OQ89" s="6"/>
      <c r="OR89" s="6"/>
      <c r="OS89" s="6"/>
      <c r="OT89" s="6"/>
      <c r="OU89" s="6"/>
      <c r="OV89" s="6"/>
      <c r="OW89" s="6"/>
      <c r="OX89" s="6"/>
      <c r="OY89" s="6"/>
      <c r="OZ89" s="6"/>
      <c r="PA89" s="6"/>
      <c r="PB89" s="6"/>
      <c r="PC89" s="6"/>
      <c r="PD89" s="6"/>
      <c r="PE89" s="6"/>
      <c r="PF89" s="6"/>
      <c r="PG89" s="6"/>
      <c r="PH89" s="6"/>
      <c r="PI89" s="6"/>
      <c r="PJ89" s="6"/>
      <c r="PK89" s="6"/>
      <c r="PL89" s="6"/>
      <c r="PM89" s="6"/>
      <c r="PN89" s="6"/>
      <c r="PO89" s="6"/>
      <c r="PP89" s="6"/>
      <c r="PQ89" s="6"/>
      <c r="PR89" s="6"/>
      <c r="PS89" s="6"/>
      <c r="PT89" s="6"/>
      <c r="PU89" s="6"/>
      <c r="PV89" s="6"/>
      <c r="PW89" s="6"/>
      <c r="PX89" s="6"/>
    </row>
    <row r="90" spans="1:440" s="4" customFormat="1" ht="63">
      <c r="A90" s="27">
        <v>82</v>
      </c>
      <c r="B90" s="9" t="s">
        <v>120</v>
      </c>
      <c r="C90" s="7" t="s">
        <v>22</v>
      </c>
      <c r="D90" s="85" t="s">
        <v>267</v>
      </c>
      <c r="E90" s="85" t="s">
        <v>246</v>
      </c>
      <c r="F90" s="8" t="s">
        <v>116</v>
      </c>
      <c r="G90" s="10" t="s">
        <v>23</v>
      </c>
      <c r="H90" s="11">
        <v>100</v>
      </c>
      <c r="I90" s="12">
        <f>200/1.12</f>
        <v>178.57142857142856</v>
      </c>
      <c r="J90" s="13">
        <f t="shared" si="2"/>
        <v>17857.142857142855</v>
      </c>
      <c r="K90" s="14" t="s">
        <v>208</v>
      </c>
      <c r="L90" s="7" t="s">
        <v>208</v>
      </c>
      <c r="M90" s="14" t="s">
        <v>15</v>
      </c>
      <c r="N90" s="15">
        <v>0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  <c r="JI90" s="6"/>
      <c r="JJ90" s="6"/>
      <c r="JK90" s="6"/>
      <c r="JL90" s="6"/>
      <c r="JM90" s="6"/>
      <c r="JN90" s="6"/>
      <c r="JO90" s="6"/>
      <c r="JP90" s="6"/>
      <c r="JQ90" s="6"/>
      <c r="JR90" s="6"/>
      <c r="JS90" s="6"/>
      <c r="JT90" s="6"/>
      <c r="JU90" s="6"/>
      <c r="JV90" s="6"/>
      <c r="JW90" s="6"/>
      <c r="JX90" s="6"/>
      <c r="JY90" s="6"/>
      <c r="JZ90" s="6"/>
      <c r="KA90" s="6"/>
      <c r="KB90" s="6"/>
      <c r="KC90" s="6"/>
      <c r="KD90" s="6"/>
      <c r="KE90" s="6"/>
      <c r="KF90" s="6"/>
      <c r="KG90" s="6"/>
      <c r="KH90" s="6"/>
      <c r="KI90" s="6"/>
      <c r="KJ90" s="6"/>
      <c r="KK90" s="6"/>
      <c r="KL90" s="6"/>
      <c r="KM90" s="6"/>
      <c r="KN90" s="6"/>
      <c r="KO90" s="6"/>
      <c r="KP90" s="6"/>
      <c r="KQ90" s="6"/>
      <c r="KR90" s="6"/>
      <c r="KS90" s="6"/>
      <c r="KT90" s="6"/>
      <c r="KU90" s="6"/>
      <c r="KV90" s="6"/>
      <c r="KW90" s="6"/>
      <c r="KX90" s="6"/>
      <c r="KY90" s="6"/>
      <c r="KZ90" s="6"/>
      <c r="LA90" s="6"/>
      <c r="LB90" s="6"/>
      <c r="LC90" s="6"/>
      <c r="LD90" s="6"/>
      <c r="LE90" s="6"/>
      <c r="LF90" s="6"/>
      <c r="LG90" s="6"/>
      <c r="LH90" s="6"/>
      <c r="LI90" s="6"/>
      <c r="LJ90" s="6"/>
      <c r="LK90" s="6"/>
      <c r="LL90" s="6"/>
      <c r="LM90" s="6"/>
      <c r="LN90" s="6"/>
      <c r="LO90" s="6"/>
      <c r="LP90" s="6"/>
      <c r="LQ90" s="6"/>
      <c r="LR90" s="6"/>
      <c r="LS90" s="6"/>
      <c r="LT90" s="6"/>
      <c r="LU90" s="6"/>
      <c r="LV90" s="6"/>
      <c r="LW90" s="6"/>
      <c r="LX90" s="6"/>
      <c r="LY90" s="6"/>
      <c r="LZ90" s="6"/>
      <c r="MA90" s="6"/>
      <c r="MB90" s="6"/>
      <c r="MC90" s="6"/>
      <c r="MD90" s="6"/>
      <c r="ME90" s="6"/>
      <c r="MF90" s="6"/>
      <c r="MG90" s="6"/>
      <c r="MH90" s="6"/>
      <c r="MI90" s="6"/>
      <c r="MJ90" s="6"/>
      <c r="MK90" s="6"/>
      <c r="ML90" s="6"/>
      <c r="MM90" s="6"/>
      <c r="MN90" s="6"/>
      <c r="MO90" s="6"/>
      <c r="MP90" s="6"/>
      <c r="MQ90" s="6"/>
      <c r="MR90" s="6"/>
      <c r="MS90" s="6"/>
      <c r="MT90" s="6"/>
      <c r="MU90" s="6"/>
      <c r="MV90" s="6"/>
      <c r="MW90" s="6"/>
      <c r="MX90" s="6"/>
      <c r="MY90" s="6"/>
      <c r="MZ90" s="6"/>
      <c r="NA90" s="6"/>
      <c r="NB90" s="6"/>
      <c r="NC90" s="6"/>
      <c r="ND90" s="6"/>
      <c r="NE90" s="6"/>
      <c r="NF90" s="6"/>
      <c r="NG90" s="6"/>
      <c r="NH90" s="6"/>
      <c r="NI90" s="6"/>
      <c r="NJ90" s="6"/>
      <c r="NK90" s="6"/>
      <c r="NL90" s="6"/>
      <c r="NM90" s="6"/>
      <c r="NN90" s="6"/>
      <c r="NO90" s="6"/>
      <c r="NP90" s="6"/>
      <c r="NQ90" s="6"/>
      <c r="NR90" s="6"/>
      <c r="NS90" s="6"/>
      <c r="NT90" s="6"/>
      <c r="NU90" s="6"/>
      <c r="NV90" s="6"/>
      <c r="NW90" s="6"/>
      <c r="NX90" s="6"/>
      <c r="NY90" s="6"/>
      <c r="NZ90" s="6"/>
      <c r="OA90" s="6"/>
      <c r="OB90" s="6"/>
      <c r="OC90" s="6"/>
      <c r="OD90" s="6"/>
      <c r="OE90" s="6"/>
      <c r="OF90" s="6"/>
      <c r="OG90" s="6"/>
      <c r="OH90" s="6"/>
      <c r="OI90" s="6"/>
      <c r="OJ90" s="6"/>
      <c r="OK90" s="6"/>
      <c r="OL90" s="6"/>
      <c r="OM90" s="6"/>
      <c r="ON90" s="6"/>
      <c r="OO90" s="6"/>
      <c r="OP90" s="6"/>
      <c r="OQ90" s="6"/>
      <c r="OR90" s="6"/>
      <c r="OS90" s="6"/>
      <c r="OT90" s="6"/>
      <c r="OU90" s="6"/>
      <c r="OV90" s="6"/>
      <c r="OW90" s="6"/>
      <c r="OX90" s="6"/>
      <c r="OY90" s="6"/>
      <c r="OZ90" s="6"/>
      <c r="PA90" s="6"/>
      <c r="PB90" s="6"/>
      <c r="PC90" s="6"/>
      <c r="PD90" s="6"/>
      <c r="PE90" s="6"/>
      <c r="PF90" s="6"/>
      <c r="PG90" s="6"/>
      <c r="PH90" s="6"/>
      <c r="PI90" s="6"/>
      <c r="PJ90" s="6"/>
      <c r="PK90" s="6"/>
      <c r="PL90" s="6"/>
      <c r="PM90" s="6"/>
      <c r="PN90" s="6"/>
      <c r="PO90" s="6"/>
      <c r="PP90" s="6"/>
      <c r="PQ90" s="6"/>
      <c r="PR90" s="6"/>
      <c r="PS90" s="6"/>
      <c r="PT90" s="6"/>
      <c r="PU90" s="6"/>
      <c r="PV90" s="6"/>
      <c r="PW90" s="6"/>
      <c r="PX90" s="6"/>
    </row>
    <row r="91" spans="1:440" s="4" customFormat="1" ht="63">
      <c r="A91" s="27">
        <v>83</v>
      </c>
      <c r="B91" s="9" t="s">
        <v>120</v>
      </c>
      <c r="C91" s="7" t="s">
        <v>22</v>
      </c>
      <c r="D91" s="85" t="s">
        <v>268</v>
      </c>
      <c r="E91" s="85" t="s">
        <v>247</v>
      </c>
      <c r="F91" s="8" t="s">
        <v>116</v>
      </c>
      <c r="G91" s="10" t="s">
        <v>23</v>
      </c>
      <c r="H91" s="11">
        <v>10</v>
      </c>
      <c r="I91" s="12">
        <f>405/1.12</f>
        <v>361.60714285714283</v>
      </c>
      <c r="J91" s="13">
        <f t="shared" si="2"/>
        <v>3616.0714285714284</v>
      </c>
      <c r="K91" s="14" t="s">
        <v>208</v>
      </c>
      <c r="L91" s="7" t="s">
        <v>208</v>
      </c>
      <c r="M91" s="14" t="s">
        <v>15</v>
      </c>
      <c r="N91" s="15">
        <v>0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  <c r="JI91" s="6"/>
      <c r="JJ91" s="6"/>
      <c r="JK91" s="6"/>
      <c r="JL91" s="6"/>
      <c r="JM91" s="6"/>
      <c r="JN91" s="6"/>
      <c r="JO91" s="6"/>
      <c r="JP91" s="6"/>
      <c r="JQ91" s="6"/>
      <c r="JR91" s="6"/>
      <c r="JS91" s="6"/>
      <c r="JT91" s="6"/>
      <c r="JU91" s="6"/>
      <c r="JV91" s="6"/>
      <c r="JW91" s="6"/>
      <c r="JX91" s="6"/>
      <c r="JY91" s="6"/>
      <c r="JZ91" s="6"/>
      <c r="KA91" s="6"/>
      <c r="KB91" s="6"/>
      <c r="KC91" s="6"/>
      <c r="KD91" s="6"/>
      <c r="KE91" s="6"/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  <c r="KU91" s="6"/>
      <c r="KV91" s="6"/>
      <c r="KW91" s="6"/>
      <c r="KX91" s="6"/>
      <c r="KY91" s="6"/>
      <c r="KZ91" s="6"/>
      <c r="LA91" s="6"/>
      <c r="LB91" s="6"/>
      <c r="LC91" s="6"/>
      <c r="LD91" s="6"/>
      <c r="LE91" s="6"/>
      <c r="LF91" s="6"/>
      <c r="LG91" s="6"/>
      <c r="LH91" s="6"/>
      <c r="LI91" s="6"/>
      <c r="LJ91" s="6"/>
      <c r="LK91" s="6"/>
      <c r="LL91" s="6"/>
      <c r="LM91" s="6"/>
      <c r="LN91" s="6"/>
      <c r="LO91" s="6"/>
      <c r="LP91" s="6"/>
      <c r="LQ91" s="6"/>
      <c r="LR91" s="6"/>
      <c r="LS91" s="6"/>
      <c r="LT91" s="6"/>
      <c r="LU91" s="6"/>
      <c r="LV91" s="6"/>
      <c r="LW91" s="6"/>
      <c r="LX91" s="6"/>
      <c r="LY91" s="6"/>
      <c r="LZ91" s="6"/>
      <c r="MA91" s="6"/>
      <c r="MB91" s="6"/>
      <c r="MC91" s="6"/>
      <c r="MD91" s="6"/>
      <c r="ME91" s="6"/>
      <c r="MF91" s="6"/>
      <c r="MG91" s="6"/>
      <c r="MH91" s="6"/>
      <c r="MI91" s="6"/>
      <c r="MJ91" s="6"/>
      <c r="MK91" s="6"/>
      <c r="ML91" s="6"/>
      <c r="MM91" s="6"/>
      <c r="MN91" s="6"/>
      <c r="MO91" s="6"/>
      <c r="MP91" s="6"/>
      <c r="MQ91" s="6"/>
      <c r="MR91" s="6"/>
      <c r="MS91" s="6"/>
      <c r="MT91" s="6"/>
      <c r="MU91" s="6"/>
      <c r="MV91" s="6"/>
      <c r="MW91" s="6"/>
      <c r="MX91" s="6"/>
      <c r="MY91" s="6"/>
      <c r="MZ91" s="6"/>
      <c r="NA91" s="6"/>
      <c r="NB91" s="6"/>
      <c r="NC91" s="6"/>
      <c r="ND91" s="6"/>
      <c r="NE91" s="6"/>
      <c r="NF91" s="6"/>
      <c r="NG91" s="6"/>
      <c r="NH91" s="6"/>
      <c r="NI91" s="6"/>
      <c r="NJ91" s="6"/>
      <c r="NK91" s="6"/>
      <c r="NL91" s="6"/>
      <c r="NM91" s="6"/>
      <c r="NN91" s="6"/>
      <c r="NO91" s="6"/>
      <c r="NP91" s="6"/>
      <c r="NQ91" s="6"/>
      <c r="NR91" s="6"/>
      <c r="NS91" s="6"/>
      <c r="NT91" s="6"/>
      <c r="NU91" s="6"/>
      <c r="NV91" s="6"/>
      <c r="NW91" s="6"/>
      <c r="NX91" s="6"/>
      <c r="NY91" s="6"/>
      <c r="NZ91" s="6"/>
      <c r="OA91" s="6"/>
      <c r="OB91" s="6"/>
      <c r="OC91" s="6"/>
      <c r="OD91" s="6"/>
      <c r="OE91" s="6"/>
      <c r="OF91" s="6"/>
      <c r="OG91" s="6"/>
      <c r="OH91" s="6"/>
      <c r="OI91" s="6"/>
      <c r="OJ91" s="6"/>
      <c r="OK91" s="6"/>
      <c r="OL91" s="6"/>
      <c r="OM91" s="6"/>
      <c r="ON91" s="6"/>
      <c r="OO91" s="6"/>
      <c r="OP91" s="6"/>
      <c r="OQ91" s="6"/>
      <c r="OR91" s="6"/>
      <c r="OS91" s="6"/>
      <c r="OT91" s="6"/>
      <c r="OU91" s="6"/>
      <c r="OV91" s="6"/>
      <c r="OW91" s="6"/>
      <c r="OX91" s="6"/>
      <c r="OY91" s="6"/>
      <c r="OZ91" s="6"/>
      <c r="PA91" s="6"/>
      <c r="PB91" s="6"/>
      <c r="PC91" s="6"/>
      <c r="PD91" s="6"/>
      <c r="PE91" s="6"/>
      <c r="PF91" s="6"/>
      <c r="PG91" s="6"/>
      <c r="PH91" s="6"/>
      <c r="PI91" s="6"/>
      <c r="PJ91" s="6"/>
      <c r="PK91" s="6"/>
      <c r="PL91" s="6"/>
      <c r="PM91" s="6"/>
      <c r="PN91" s="6"/>
      <c r="PO91" s="6"/>
      <c r="PP91" s="6"/>
      <c r="PQ91" s="6"/>
      <c r="PR91" s="6"/>
      <c r="PS91" s="6"/>
      <c r="PT91" s="6"/>
      <c r="PU91" s="6"/>
      <c r="PV91" s="6"/>
      <c r="PW91" s="6"/>
      <c r="PX91" s="6"/>
    </row>
    <row r="92" spans="1:440" s="4" customFormat="1" ht="63">
      <c r="A92" s="27">
        <v>84</v>
      </c>
      <c r="B92" s="9" t="s">
        <v>120</v>
      </c>
      <c r="C92" s="7" t="s">
        <v>22</v>
      </c>
      <c r="D92" s="85" t="s">
        <v>269</v>
      </c>
      <c r="E92" s="85" t="s">
        <v>189</v>
      </c>
      <c r="F92" s="8" t="s">
        <v>116</v>
      </c>
      <c r="G92" s="10" t="s">
        <v>23</v>
      </c>
      <c r="H92" s="11">
        <v>50</v>
      </c>
      <c r="I92" s="12">
        <f>75/1.12</f>
        <v>66.964285714285708</v>
      </c>
      <c r="J92" s="13">
        <f t="shared" si="2"/>
        <v>3348.2142857142853</v>
      </c>
      <c r="K92" s="14" t="s">
        <v>208</v>
      </c>
      <c r="L92" s="7" t="s">
        <v>208</v>
      </c>
      <c r="M92" s="14" t="s">
        <v>15</v>
      </c>
      <c r="N92" s="15">
        <v>0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  <c r="JI92" s="6"/>
      <c r="JJ92" s="6"/>
      <c r="JK92" s="6"/>
      <c r="JL92" s="6"/>
      <c r="JM92" s="6"/>
      <c r="JN92" s="6"/>
      <c r="JO92" s="6"/>
      <c r="JP92" s="6"/>
      <c r="JQ92" s="6"/>
      <c r="JR92" s="6"/>
      <c r="JS92" s="6"/>
      <c r="JT92" s="6"/>
      <c r="JU92" s="6"/>
      <c r="JV92" s="6"/>
      <c r="JW92" s="6"/>
      <c r="JX92" s="6"/>
      <c r="JY92" s="6"/>
      <c r="JZ92" s="6"/>
      <c r="KA92" s="6"/>
      <c r="KB92" s="6"/>
      <c r="KC92" s="6"/>
      <c r="KD92" s="6"/>
      <c r="KE92" s="6"/>
      <c r="KF92" s="6"/>
      <c r="KG92" s="6"/>
      <c r="KH92" s="6"/>
      <c r="KI92" s="6"/>
      <c r="KJ92" s="6"/>
      <c r="KK92" s="6"/>
      <c r="KL92" s="6"/>
      <c r="KM92" s="6"/>
      <c r="KN92" s="6"/>
      <c r="KO92" s="6"/>
      <c r="KP92" s="6"/>
      <c r="KQ92" s="6"/>
      <c r="KR92" s="6"/>
      <c r="KS92" s="6"/>
      <c r="KT92" s="6"/>
      <c r="KU92" s="6"/>
      <c r="KV92" s="6"/>
      <c r="KW92" s="6"/>
      <c r="KX92" s="6"/>
      <c r="KY92" s="6"/>
      <c r="KZ92" s="6"/>
      <c r="LA92" s="6"/>
      <c r="LB92" s="6"/>
      <c r="LC92" s="6"/>
      <c r="LD92" s="6"/>
      <c r="LE92" s="6"/>
      <c r="LF92" s="6"/>
      <c r="LG92" s="6"/>
      <c r="LH92" s="6"/>
      <c r="LI92" s="6"/>
      <c r="LJ92" s="6"/>
      <c r="LK92" s="6"/>
      <c r="LL92" s="6"/>
      <c r="LM92" s="6"/>
      <c r="LN92" s="6"/>
      <c r="LO92" s="6"/>
      <c r="LP92" s="6"/>
      <c r="LQ92" s="6"/>
      <c r="LR92" s="6"/>
      <c r="LS92" s="6"/>
      <c r="LT92" s="6"/>
      <c r="LU92" s="6"/>
      <c r="LV92" s="6"/>
      <c r="LW92" s="6"/>
      <c r="LX92" s="6"/>
      <c r="LY92" s="6"/>
      <c r="LZ92" s="6"/>
      <c r="MA92" s="6"/>
      <c r="MB92" s="6"/>
      <c r="MC92" s="6"/>
      <c r="MD92" s="6"/>
      <c r="ME92" s="6"/>
      <c r="MF92" s="6"/>
      <c r="MG92" s="6"/>
      <c r="MH92" s="6"/>
      <c r="MI92" s="6"/>
      <c r="MJ92" s="6"/>
      <c r="MK92" s="6"/>
      <c r="ML92" s="6"/>
      <c r="MM92" s="6"/>
      <c r="MN92" s="6"/>
      <c r="MO92" s="6"/>
      <c r="MP92" s="6"/>
      <c r="MQ92" s="6"/>
      <c r="MR92" s="6"/>
      <c r="MS92" s="6"/>
      <c r="MT92" s="6"/>
      <c r="MU92" s="6"/>
      <c r="MV92" s="6"/>
      <c r="MW92" s="6"/>
      <c r="MX92" s="6"/>
      <c r="MY92" s="6"/>
      <c r="MZ92" s="6"/>
      <c r="NA92" s="6"/>
      <c r="NB92" s="6"/>
      <c r="NC92" s="6"/>
      <c r="ND92" s="6"/>
      <c r="NE92" s="6"/>
      <c r="NF92" s="6"/>
      <c r="NG92" s="6"/>
      <c r="NH92" s="6"/>
      <c r="NI92" s="6"/>
      <c r="NJ92" s="6"/>
      <c r="NK92" s="6"/>
      <c r="NL92" s="6"/>
      <c r="NM92" s="6"/>
      <c r="NN92" s="6"/>
      <c r="NO92" s="6"/>
      <c r="NP92" s="6"/>
      <c r="NQ92" s="6"/>
      <c r="NR92" s="6"/>
      <c r="NS92" s="6"/>
      <c r="NT92" s="6"/>
      <c r="NU92" s="6"/>
      <c r="NV92" s="6"/>
      <c r="NW92" s="6"/>
      <c r="NX92" s="6"/>
      <c r="NY92" s="6"/>
      <c r="NZ92" s="6"/>
      <c r="OA92" s="6"/>
      <c r="OB92" s="6"/>
      <c r="OC92" s="6"/>
      <c r="OD92" s="6"/>
      <c r="OE92" s="6"/>
      <c r="OF92" s="6"/>
      <c r="OG92" s="6"/>
      <c r="OH92" s="6"/>
      <c r="OI92" s="6"/>
      <c r="OJ92" s="6"/>
      <c r="OK92" s="6"/>
      <c r="OL92" s="6"/>
      <c r="OM92" s="6"/>
      <c r="ON92" s="6"/>
      <c r="OO92" s="6"/>
      <c r="OP92" s="6"/>
      <c r="OQ92" s="6"/>
      <c r="OR92" s="6"/>
      <c r="OS92" s="6"/>
      <c r="OT92" s="6"/>
      <c r="OU92" s="6"/>
      <c r="OV92" s="6"/>
      <c r="OW92" s="6"/>
      <c r="OX92" s="6"/>
      <c r="OY92" s="6"/>
      <c r="OZ92" s="6"/>
      <c r="PA92" s="6"/>
      <c r="PB92" s="6"/>
      <c r="PC92" s="6"/>
      <c r="PD92" s="6"/>
      <c r="PE92" s="6"/>
      <c r="PF92" s="6"/>
      <c r="PG92" s="6"/>
      <c r="PH92" s="6"/>
      <c r="PI92" s="6"/>
      <c r="PJ92" s="6"/>
      <c r="PK92" s="6"/>
      <c r="PL92" s="6"/>
      <c r="PM92" s="6"/>
      <c r="PN92" s="6"/>
      <c r="PO92" s="6"/>
      <c r="PP92" s="6"/>
      <c r="PQ92" s="6"/>
      <c r="PR92" s="6"/>
      <c r="PS92" s="6"/>
      <c r="PT92" s="6"/>
      <c r="PU92" s="6"/>
      <c r="PV92" s="6"/>
      <c r="PW92" s="6"/>
      <c r="PX92" s="6"/>
    </row>
    <row r="93" spans="1:440" s="4" customFormat="1" ht="63">
      <c r="A93" s="27">
        <v>85</v>
      </c>
      <c r="B93" s="9" t="s">
        <v>120</v>
      </c>
      <c r="C93" s="7" t="s">
        <v>22</v>
      </c>
      <c r="D93" s="85" t="s">
        <v>271</v>
      </c>
      <c r="E93" s="85" t="s">
        <v>270</v>
      </c>
      <c r="F93" s="8" t="s">
        <v>116</v>
      </c>
      <c r="G93" s="10" t="s">
        <v>23</v>
      </c>
      <c r="H93" s="11">
        <v>20</v>
      </c>
      <c r="I93" s="12">
        <f>845/1.12</f>
        <v>754.46428571428567</v>
      </c>
      <c r="J93" s="13">
        <f t="shared" si="2"/>
        <v>15089.285714285714</v>
      </c>
      <c r="K93" s="14" t="s">
        <v>208</v>
      </c>
      <c r="L93" s="7" t="s">
        <v>208</v>
      </c>
      <c r="M93" s="14" t="s">
        <v>15</v>
      </c>
      <c r="N93" s="15">
        <v>0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  <c r="JH93" s="6"/>
      <c r="JI93" s="6"/>
      <c r="JJ93" s="6"/>
      <c r="JK93" s="6"/>
      <c r="JL93" s="6"/>
      <c r="JM93" s="6"/>
      <c r="JN93" s="6"/>
      <c r="JO93" s="6"/>
      <c r="JP93" s="6"/>
      <c r="JQ93" s="6"/>
      <c r="JR93" s="6"/>
      <c r="JS93" s="6"/>
      <c r="JT93" s="6"/>
      <c r="JU93" s="6"/>
      <c r="JV93" s="6"/>
      <c r="JW93" s="6"/>
      <c r="JX93" s="6"/>
      <c r="JY93" s="6"/>
      <c r="JZ93" s="6"/>
      <c r="KA93" s="6"/>
      <c r="KB93" s="6"/>
      <c r="KC93" s="6"/>
      <c r="KD93" s="6"/>
      <c r="KE93" s="6"/>
      <c r="KF93" s="6"/>
      <c r="KG93" s="6"/>
      <c r="KH93" s="6"/>
      <c r="KI93" s="6"/>
      <c r="KJ93" s="6"/>
      <c r="KK93" s="6"/>
      <c r="KL93" s="6"/>
      <c r="KM93" s="6"/>
      <c r="KN93" s="6"/>
      <c r="KO93" s="6"/>
      <c r="KP93" s="6"/>
      <c r="KQ93" s="6"/>
      <c r="KR93" s="6"/>
      <c r="KS93" s="6"/>
      <c r="KT93" s="6"/>
      <c r="KU93" s="6"/>
      <c r="KV93" s="6"/>
      <c r="KW93" s="6"/>
      <c r="KX93" s="6"/>
      <c r="KY93" s="6"/>
      <c r="KZ93" s="6"/>
      <c r="LA93" s="6"/>
      <c r="LB93" s="6"/>
      <c r="LC93" s="6"/>
      <c r="LD93" s="6"/>
      <c r="LE93" s="6"/>
      <c r="LF93" s="6"/>
      <c r="LG93" s="6"/>
      <c r="LH93" s="6"/>
      <c r="LI93" s="6"/>
      <c r="LJ93" s="6"/>
      <c r="LK93" s="6"/>
      <c r="LL93" s="6"/>
      <c r="LM93" s="6"/>
      <c r="LN93" s="6"/>
      <c r="LO93" s="6"/>
      <c r="LP93" s="6"/>
      <c r="LQ93" s="6"/>
      <c r="LR93" s="6"/>
      <c r="LS93" s="6"/>
      <c r="LT93" s="6"/>
      <c r="LU93" s="6"/>
      <c r="LV93" s="6"/>
      <c r="LW93" s="6"/>
      <c r="LX93" s="6"/>
      <c r="LY93" s="6"/>
      <c r="LZ93" s="6"/>
      <c r="MA93" s="6"/>
      <c r="MB93" s="6"/>
      <c r="MC93" s="6"/>
      <c r="MD93" s="6"/>
      <c r="ME93" s="6"/>
      <c r="MF93" s="6"/>
      <c r="MG93" s="6"/>
      <c r="MH93" s="6"/>
      <c r="MI93" s="6"/>
      <c r="MJ93" s="6"/>
      <c r="MK93" s="6"/>
      <c r="ML93" s="6"/>
      <c r="MM93" s="6"/>
      <c r="MN93" s="6"/>
      <c r="MO93" s="6"/>
      <c r="MP93" s="6"/>
      <c r="MQ93" s="6"/>
      <c r="MR93" s="6"/>
      <c r="MS93" s="6"/>
      <c r="MT93" s="6"/>
      <c r="MU93" s="6"/>
      <c r="MV93" s="6"/>
      <c r="MW93" s="6"/>
      <c r="MX93" s="6"/>
      <c r="MY93" s="6"/>
      <c r="MZ93" s="6"/>
      <c r="NA93" s="6"/>
      <c r="NB93" s="6"/>
      <c r="NC93" s="6"/>
      <c r="ND93" s="6"/>
      <c r="NE93" s="6"/>
      <c r="NF93" s="6"/>
      <c r="NG93" s="6"/>
      <c r="NH93" s="6"/>
      <c r="NI93" s="6"/>
      <c r="NJ93" s="6"/>
      <c r="NK93" s="6"/>
      <c r="NL93" s="6"/>
      <c r="NM93" s="6"/>
      <c r="NN93" s="6"/>
      <c r="NO93" s="6"/>
      <c r="NP93" s="6"/>
      <c r="NQ93" s="6"/>
      <c r="NR93" s="6"/>
      <c r="NS93" s="6"/>
      <c r="NT93" s="6"/>
      <c r="NU93" s="6"/>
      <c r="NV93" s="6"/>
      <c r="NW93" s="6"/>
      <c r="NX93" s="6"/>
      <c r="NY93" s="6"/>
      <c r="NZ93" s="6"/>
      <c r="OA93" s="6"/>
      <c r="OB93" s="6"/>
      <c r="OC93" s="6"/>
      <c r="OD93" s="6"/>
      <c r="OE93" s="6"/>
      <c r="OF93" s="6"/>
      <c r="OG93" s="6"/>
      <c r="OH93" s="6"/>
      <c r="OI93" s="6"/>
      <c r="OJ93" s="6"/>
      <c r="OK93" s="6"/>
      <c r="OL93" s="6"/>
      <c r="OM93" s="6"/>
      <c r="ON93" s="6"/>
      <c r="OO93" s="6"/>
      <c r="OP93" s="6"/>
      <c r="OQ93" s="6"/>
      <c r="OR93" s="6"/>
      <c r="OS93" s="6"/>
      <c r="OT93" s="6"/>
      <c r="OU93" s="6"/>
      <c r="OV93" s="6"/>
      <c r="OW93" s="6"/>
      <c r="OX93" s="6"/>
      <c r="OY93" s="6"/>
      <c r="OZ93" s="6"/>
      <c r="PA93" s="6"/>
      <c r="PB93" s="6"/>
      <c r="PC93" s="6"/>
      <c r="PD93" s="6"/>
      <c r="PE93" s="6"/>
      <c r="PF93" s="6"/>
      <c r="PG93" s="6"/>
      <c r="PH93" s="6"/>
      <c r="PI93" s="6"/>
      <c r="PJ93" s="6"/>
      <c r="PK93" s="6"/>
      <c r="PL93" s="6"/>
      <c r="PM93" s="6"/>
      <c r="PN93" s="6"/>
      <c r="PO93" s="6"/>
      <c r="PP93" s="6"/>
      <c r="PQ93" s="6"/>
      <c r="PR93" s="6"/>
      <c r="PS93" s="6"/>
      <c r="PT93" s="6"/>
      <c r="PU93" s="6"/>
      <c r="PV93" s="6"/>
      <c r="PW93" s="6"/>
      <c r="PX93" s="6"/>
    </row>
    <row r="94" spans="1:440" s="4" customFormat="1" ht="63">
      <c r="A94" s="27">
        <v>86</v>
      </c>
      <c r="B94" s="9" t="s">
        <v>120</v>
      </c>
      <c r="C94" s="7" t="s">
        <v>22</v>
      </c>
      <c r="D94" s="85" t="s">
        <v>272</v>
      </c>
      <c r="E94" s="85" t="s">
        <v>248</v>
      </c>
      <c r="F94" s="8" t="s">
        <v>116</v>
      </c>
      <c r="G94" s="10" t="s">
        <v>23</v>
      </c>
      <c r="H94" s="11">
        <v>20</v>
      </c>
      <c r="I94" s="12">
        <f>70/1.12</f>
        <v>62.499999999999993</v>
      </c>
      <c r="J94" s="13">
        <f t="shared" si="2"/>
        <v>1249.9999999999998</v>
      </c>
      <c r="K94" s="14" t="s">
        <v>208</v>
      </c>
      <c r="L94" s="7" t="s">
        <v>208</v>
      </c>
      <c r="M94" s="14" t="s">
        <v>15</v>
      </c>
      <c r="N94" s="15">
        <v>0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  <c r="JH94" s="6"/>
      <c r="JI94" s="6"/>
      <c r="JJ94" s="6"/>
      <c r="JK94" s="6"/>
      <c r="JL94" s="6"/>
      <c r="JM94" s="6"/>
      <c r="JN94" s="6"/>
      <c r="JO94" s="6"/>
      <c r="JP94" s="6"/>
      <c r="JQ94" s="6"/>
      <c r="JR94" s="6"/>
      <c r="JS94" s="6"/>
      <c r="JT94" s="6"/>
      <c r="JU94" s="6"/>
      <c r="JV94" s="6"/>
      <c r="JW94" s="6"/>
      <c r="JX94" s="6"/>
      <c r="JY94" s="6"/>
      <c r="JZ94" s="6"/>
      <c r="KA94" s="6"/>
      <c r="KB94" s="6"/>
      <c r="KC94" s="6"/>
      <c r="KD94" s="6"/>
      <c r="KE94" s="6"/>
      <c r="KF94" s="6"/>
      <c r="KG94" s="6"/>
      <c r="KH94" s="6"/>
      <c r="KI94" s="6"/>
      <c r="KJ94" s="6"/>
      <c r="KK94" s="6"/>
      <c r="KL94" s="6"/>
      <c r="KM94" s="6"/>
      <c r="KN94" s="6"/>
      <c r="KO94" s="6"/>
      <c r="KP94" s="6"/>
      <c r="KQ94" s="6"/>
      <c r="KR94" s="6"/>
      <c r="KS94" s="6"/>
      <c r="KT94" s="6"/>
      <c r="KU94" s="6"/>
      <c r="KV94" s="6"/>
      <c r="KW94" s="6"/>
      <c r="KX94" s="6"/>
      <c r="KY94" s="6"/>
      <c r="KZ94" s="6"/>
      <c r="LA94" s="6"/>
      <c r="LB94" s="6"/>
      <c r="LC94" s="6"/>
      <c r="LD94" s="6"/>
      <c r="LE94" s="6"/>
      <c r="LF94" s="6"/>
      <c r="LG94" s="6"/>
      <c r="LH94" s="6"/>
      <c r="LI94" s="6"/>
      <c r="LJ94" s="6"/>
      <c r="LK94" s="6"/>
      <c r="LL94" s="6"/>
      <c r="LM94" s="6"/>
      <c r="LN94" s="6"/>
      <c r="LO94" s="6"/>
      <c r="LP94" s="6"/>
      <c r="LQ94" s="6"/>
      <c r="LR94" s="6"/>
      <c r="LS94" s="6"/>
      <c r="LT94" s="6"/>
      <c r="LU94" s="6"/>
      <c r="LV94" s="6"/>
      <c r="LW94" s="6"/>
      <c r="LX94" s="6"/>
      <c r="LY94" s="6"/>
      <c r="LZ94" s="6"/>
      <c r="MA94" s="6"/>
      <c r="MB94" s="6"/>
      <c r="MC94" s="6"/>
      <c r="MD94" s="6"/>
      <c r="ME94" s="6"/>
      <c r="MF94" s="6"/>
      <c r="MG94" s="6"/>
      <c r="MH94" s="6"/>
      <c r="MI94" s="6"/>
      <c r="MJ94" s="6"/>
      <c r="MK94" s="6"/>
      <c r="ML94" s="6"/>
      <c r="MM94" s="6"/>
      <c r="MN94" s="6"/>
      <c r="MO94" s="6"/>
      <c r="MP94" s="6"/>
      <c r="MQ94" s="6"/>
      <c r="MR94" s="6"/>
      <c r="MS94" s="6"/>
      <c r="MT94" s="6"/>
      <c r="MU94" s="6"/>
      <c r="MV94" s="6"/>
      <c r="MW94" s="6"/>
      <c r="MX94" s="6"/>
      <c r="MY94" s="6"/>
      <c r="MZ94" s="6"/>
      <c r="NA94" s="6"/>
      <c r="NB94" s="6"/>
      <c r="NC94" s="6"/>
      <c r="ND94" s="6"/>
      <c r="NE94" s="6"/>
      <c r="NF94" s="6"/>
      <c r="NG94" s="6"/>
      <c r="NH94" s="6"/>
      <c r="NI94" s="6"/>
      <c r="NJ94" s="6"/>
      <c r="NK94" s="6"/>
      <c r="NL94" s="6"/>
      <c r="NM94" s="6"/>
      <c r="NN94" s="6"/>
      <c r="NO94" s="6"/>
      <c r="NP94" s="6"/>
      <c r="NQ94" s="6"/>
      <c r="NR94" s="6"/>
      <c r="NS94" s="6"/>
      <c r="NT94" s="6"/>
      <c r="NU94" s="6"/>
      <c r="NV94" s="6"/>
      <c r="NW94" s="6"/>
      <c r="NX94" s="6"/>
      <c r="NY94" s="6"/>
      <c r="NZ94" s="6"/>
      <c r="OA94" s="6"/>
      <c r="OB94" s="6"/>
      <c r="OC94" s="6"/>
      <c r="OD94" s="6"/>
      <c r="OE94" s="6"/>
      <c r="OF94" s="6"/>
      <c r="OG94" s="6"/>
      <c r="OH94" s="6"/>
      <c r="OI94" s="6"/>
      <c r="OJ94" s="6"/>
      <c r="OK94" s="6"/>
      <c r="OL94" s="6"/>
      <c r="OM94" s="6"/>
      <c r="ON94" s="6"/>
      <c r="OO94" s="6"/>
      <c r="OP94" s="6"/>
      <c r="OQ94" s="6"/>
      <c r="OR94" s="6"/>
      <c r="OS94" s="6"/>
      <c r="OT94" s="6"/>
      <c r="OU94" s="6"/>
      <c r="OV94" s="6"/>
      <c r="OW94" s="6"/>
      <c r="OX94" s="6"/>
      <c r="OY94" s="6"/>
      <c r="OZ94" s="6"/>
      <c r="PA94" s="6"/>
      <c r="PB94" s="6"/>
      <c r="PC94" s="6"/>
      <c r="PD94" s="6"/>
      <c r="PE94" s="6"/>
      <c r="PF94" s="6"/>
      <c r="PG94" s="6"/>
      <c r="PH94" s="6"/>
      <c r="PI94" s="6"/>
      <c r="PJ94" s="6"/>
      <c r="PK94" s="6"/>
      <c r="PL94" s="6"/>
      <c r="PM94" s="6"/>
      <c r="PN94" s="6"/>
      <c r="PO94" s="6"/>
      <c r="PP94" s="6"/>
      <c r="PQ94" s="6"/>
      <c r="PR94" s="6"/>
      <c r="PS94" s="6"/>
      <c r="PT94" s="6"/>
      <c r="PU94" s="6"/>
      <c r="PV94" s="6"/>
      <c r="PW94" s="6"/>
      <c r="PX94" s="6"/>
    </row>
    <row r="95" spans="1:440" s="3" customFormat="1" ht="63">
      <c r="A95" s="27">
        <v>87</v>
      </c>
      <c r="B95" s="9" t="s">
        <v>120</v>
      </c>
      <c r="C95" s="7" t="s">
        <v>11</v>
      </c>
      <c r="D95" s="85" t="s">
        <v>180</v>
      </c>
      <c r="E95" s="85" t="s">
        <v>179</v>
      </c>
      <c r="F95" s="8" t="s">
        <v>116</v>
      </c>
      <c r="G95" s="10" t="s">
        <v>14</v>
      </c>
      <c r="H95" s="11">
        <v>1</v>
      </c>
      <c r="I95" s="12">
        <f>117100/1.12</f>
        <v>104553.57142857142</v>
      </c>
      <c r="J95" s="13">
        <f t="shared" si="2"/>
        <v>104553.57142857142</v>
      </c>
      <c r="K95" s="28" t="s">
        <v>206</v>
      </c>
      <c r="L95" s="28" t="s">
        <v>206</v>
      </c>
      <c r="M95" s="14" t="s">
        <v>15</v>
      </c>
      <c r="N95" s="15">
        <v>0</v>
      </c>
    </row>
    <row r="96" spans="1:440" s="3" customFormat="1" ht="63">
      <c r="A96" s="27">
        <v>88</v>
      </c>
      <c r="B96" s="9" t="s">
        <v>120</v>
      </c>
      <c r="C96" s="7" t="s">
        <v>11</v>
      </c>
      <c r="D96" s="85" t="s">
        <v>178</v>
      </c>
      <c r="E96" s="85" t="s">
        <v>177</v>
      </c>
      <c r="F96" s="8" t="s">
        <v>116</v>
      </c>
      <c r="G96" s="10" t="s">
        <v>14</v>
      </c>
      <c r="H96" s="11">
        <v>1</v>
      </c>
      <c r="I96" s="12">
        <f>77000/1.12</f>
        <v>68750</v>
      </c>
      <c r="J96" s="13">
        <f t="shared" si="2"/>
        <v>68750</v>
      </c>
      <c r="K96" s="14" t="s">
        <v>208</v>
      </c>
      <c r="L96" s="7" t="s">
        <v>208</v>
      </c>
      <c r="M96" s="14" t="s">
        <v>15</v>
      </c>
      <c r="N96" s="15">
        <v>0</v>
      </c>
    </row>
    <row r="97" spans="1:15" s="3" customFormat="1" ht="63">
      <c r="A97" s="27">
        <v>89</v>
      </c>
      <c r="B97" s="9" t="s">
        <v>120</v>
      </c>
      <c r="C97" s="7" t="s">
        <v>11</v>
      </c>
      <c r="D97" s="85" t="s">
        <v>333</v>
      </c>
      <c r="E97" s="85" t="s">
        <v>305</v>
      </c>
      <c r="F97" s="8" t="s">
        <v>116</v>
      </c>
      <c r="G97" s="10" t="s">
        <v>14</v>
      </c>
      <c r="H97" s="11">
        <v>1</v>
      </c>
      <c r="I97" s="12">
        <f>146000/1.12</f>
        <v>130357.14285714284</v>
      </c>
      <c r="J97" s="13">
        <f t="shared" si="2"/>
        <v>130357.14285714284</v>
      </c>
      <c r="K97" s="14" t="s">
        <v>208</v>
      </c>
      <c r="L97" s="7" t="s">
        <v>208</v>
      </c>
      <c r="M97" s="14" t="s">
        <v>15</v>
      </c>
      <c r="N97" s="15">
        <v>0</v>
      </c>
    </row>
    <row r="98" spans="1:15" s="3" customFormat="1" ht="63">
      <c r="A98" s="27">
        <v>90</v>
      </c>
      <c r="B98" s="9" t="s">
        <v>120</v>
      </c>
      <c r="C98" s="7" t="s">
        <v>11</v>
      </c>
      <c r="D98" s="85" t="s">
        <v>358</v>
      </c>
      <c r="E98" s="85" t="s">
        <v>357</v>
      </c>
      <c r="F98" s="8" t="s">
        <v>116</v>
      </c>
      <c r="G98" s="10" t="s">
        <v>14</v>
      </c>
      <c r="H98" s="11">
        <v>1</v>
      </c>
      <c r="I98" s="12">
        <f>160500/1.12</f>
        <v>143303.57142857142</v>
      </c>
      <c r="J98" s="13">
        <f t="shared" si="2"/>
        <v>143303.57142857142</v>
      </c>
      <c r="K98" s="14" t="s">
        <v>208</v>
      </c>
      <c r="L98" s="7" t="s">
        <v>204</v>
      </c>
      <c r="M98" s="14" t="s">
        <v>15</v>
      </c>
      <c r="N98" s="15">
        <v>0</v>
      </c>
    </row>
    <row r="99" spans="1:15" s="3" customFormat="1" ht="63">
      <c r="A99" s="27">
        <v>91</v>
      </c>
      <c r="B99" s="9" t="s">
        <v>120</v>
      </c>
      <c r="C99" s="7" t="s">
        <v>11</v>
      </c>
      <c r="D99" s="85" t="s">
        <v>334</v>
      </c>
      <c r="E99" s="85" t="s">
        <v>306</v>
      </c>
      <c r="F99" s="8" t="s">
        <v>116</v>
      </c>
      <c r="G99" s="10" t="s">
        <v>14</v>
      </c>
      <c r="H99" s="11">
        <v>1</v>
      </c>
      <c r="I99" s="12">
        <f>124000/1.12</f>
        <v>110714.28571428571</v>
      </c>
      <c r="J99" s="13">
        <f t="shared" si="2"/>
        <v>110714.28571428571</v>
      </c>
      <c r="K99" s="14" t="s">
        <v>208</v>
      </c>
      <c r="L99" s="7" t="s">
        <v>208</v>
      </c>
      <c r="M99" s="14" t="s">
        <v>15</v>
      </c>
      <c r="N99" s="15">
        <v>0</v>
      </c>
    </row>
    <row r="100" spans="1:15" s="3" customFormat="1" ht="63">
      <c r="A100" s="27">
        <v>92</v>
      </c>
      <c r="B100" s="9" t="s">
        <v>120</v>
      </c>
      <c r="C100" s="7" t="s">
        <v>11</v>
      </c>
      <c r="D100" s="85" t="s">
        <v>335</v>
      </c>
      <c r="E100" s="85" t="s">
        <v>307</v>
      </c>
      <c r="F100" s="8" t="s">
        <v>116</v>
      </c>
      <c r="G100" s="10" t="s">
        <v>14</v>
      </c>
      <c r="H100" s="11">
        <v>1</v>
      </c>
      <c r="I100" s="12">
        <f>30000/1.12</f>
        <v>26785.714285714283</v>
      </c>
      <c r="J100" s="13">
        <f t="shared" si="2"/>
        <v>26785.714285714283</v>
      </c>
      <c r="K100" s="28" t="s">
        <v>206</v>
      </c>
      <c r="L100" s="7" t="s">
        <v>206</v>
      </c>
      <c r="M100" s="14" t="s">
        <v>15</v>
      </c>
      <c r="N100" s="15">
        <v>0</v>
      </c>
    </row>
    <row r="101" spans="1:15" s="3" customFormat="1" ht="63">
      <c r="A101" s="27">
        <v>93</v>
      </c>
      <c r="B101" s="9" t="s">
        <v>120</v>
      </c>
      <c r="C101" s="7" t="s">
        <v>11</v>
      </c>
      <c r="D101" s="85" t="s">
        <v>342</v>
      </c>
      <c r="E101" s="85" t="s">
        <v>308</v>
      </c>
      <c r="F101" s="8" t="s">
        <v>116</v>
      </c>
      <c r="G101" s="10" t="s">
        <v>14</v>
      </c>
      <c r="H101" s="11">
        <v>1</v>
      </c>
      <c r="I101" s="12">
        <f>374500/1.12</f>
        <v>334374.99999999994</v>
      </c>
      <c r="J101" s="13">
        <f t="shared" ref="J101" si="5">H101*I101</f>
        <v>334374.99999999994</v>
      </c>
      <c r="K101" s="7" t="s">
        <v>207</v>
      </c>
      <c r="L101" s="7" t="s">
        <v>207</v>
      </c>
      <c r="M101" s="14" t="s">
        <v>15</v>
      </c>
      <c r="N101" s="15">
        <v>0</v>
      </c>
    </row>
    <row r="102" spans="1:15" s="3" customFormat="1" ht="63">
      <c r="A102" s="27">
        <v>94</v>
      </c>
      <c r="B102" s="9" t="s">
        <v>120</v>
      </c>
      <c r="C102" s="7" t="s">
        <v>11</v>
      </c>
      <c r="D102" s="85" t="s">
        <v>192</v>
      </c>
      <c r="E102" s="85" t="s">
        <v>160</v>
      </c>
      <c r="F102" s="8" t="s">
        <v>159</v>
      </c>
      <c r="G102" s="10" t="s">
        <v>14</v>
      </c>
      <c r="H102" s="11">
        <v>1</v>
      </c>
      <c r="I102" s="12">
        <f>3960000-523636.36</f>
        <v>3436363.64</v>
      </c>
      <c r="J102" s="13">
        <f>I102</f>
        <v>3436363.64</v>
      </c>
      <c r="K102" s="28" t="s">
        <v>206</v>
      </c>
      <c r="L102" s="7" t="s">
        <v>201</v>
      </c>
      <c r="M102" s="14" t="s">
        <v>15</v>
      </c>
      <c r="N102" s="15">
        <v>0</v>
      </c>
      <c r="O102" s="157"/>
    </row>
    <row r="103" spans="1:15" s="3" customFormat="1" ht="63">
      <c r="A103" s="27">
        <v>95</v>
      </c>
      <c r="B103" s="9" t="s">
        <v>120</v>
      </c>
      <c r="C103" s="7" t="s">
        <v>11</v>
      </c>
      <c r="D103" s="85" t="s">
        <v>193</v>
      </c>
      <c r="E103" s="85" t="s">
        <v>34</v>
      </c>
      <c r="F103" s="8" t="s">
        <v>159</v>
      </c>
      <c r="G103" s="10" t="s">
        <v>14</v>
      </c>
      <c r="H103" s="11">
        <v>1</v>
      </c>
      <c r="I103" s="12">
        <f>3960000-523636.36</f>
        <v>3436363.64</v>
      </c>
      <c r="J103" s="13">
        <f>I103</f>
        <v>3436363.64</v>
      </c>
      <c r="K103" s="28" t="s">
        <v>206</v>
      </c>
      <c r="L103" s="7" t="s">
        <v>201</v>
      </c>
      <c r="M103" s="14" t="s">
        <v>15</v>
      </c>
      <c r="N103" s="15">
        <v>0</v>
      </c>
      <c r="O103" s="157"/>
    </row>
    <row r="104" spans="1:15" s="3" customFormat="1" ht="110.25">
      <c r="A104" s="27">
        <v>96</v>
      </c>
      <c r="B104" s="9" t="s">
        <v>120</v>
      </c>
      <c r="C104" s="7" t="s">
        <v>11</v>
      </c>
      <c r="D104" s="85" t="s">
        <v>112</v>
      </c>
      <c r="E104" s="85" t="s">
        <v>111</v>
      </c>
      <c r="F104" s="8" t="s">
        <v>191</v>
      </c>
      <c r="G104" s="10" t="s">
        <v>14</v>
      </c>
      <c r="H104" s="11">
        <v>1</v>
      </c>
      <c r="I104" s="12">
        <f>1005363.611-118326.22</f>
        <v>887037.39100000006</v>
      </c>
      <c r="J104" s="13">
        <f t="shared" ref="J104:J106" si="6">I104</f>
        <v>887037.39100000006</v>
      </c>
      <c r="K104" s="28" t="s">
        <v>206</v>
      </c>
      <c r="L104" s="7" t="s">
        <v>201</v>
      </c>
      <c r="M104" s="14" t="s">
        <v>15</v>
      </c>
      <c r="N104" s="15">
        <v>0</v>
      </c>
      <c r="O104" s="118"/>
    </row>
    <row r="105" spans="1:15" s="3" customFormat="1" ht="31.5">
      <c r="A105" s="27">
        <v>97</v>
      </c>
      <c r="B105" s="9" t="s">
        <v>120</v>
      </c>
      <c r="C105" s="7" t="s">
        <v>11</v>
      </c>
      <c r="D105" s="85" t="s">
        <v>213</v>
      </c>
      <c r="E105" s="85" t="s">
        <v>181</v>
      </c>
      <c r="F105" s="8" t="s">
        <v>164</v>
      </c>
      <c r="G105" s="10" t="s">
        <v>14</v>
      </c>
      <c r="H105" s="11">
        <v>1</v>
      </c>
      <c r="I105" s="12">
        <f>491677.112</f>
        <v>491677.11200000002</v>
      </c>
      <c r="J105" s="13">
        <f t="shared" si="6"/>
        <v>491677.11200000002</v>
      </c>
      <c r="K105" s="28" t="s">
        <v>206</v>
      </c>
      <c r="L105" s="7" t="s">
        <v>201</v>
      </c>
      <c r="M105" s="14" t="s">
        <v>15</v>
      </c>
      <c r="N105" s="15">
        <v>0</v>
      </c>
    </row>
    <row r="106" spans="1:15" s="3" customFormat="1" ht="31.5">
      <c r="A106" s="27">
        <v>98</v>
      </c>
      <c r="B106" s="9" t="s">
        <v>120</v>
      </c>
      <c r="C106" s="7" t="s">
        <v>11</v>
      </c>
      <c r="D106" s="85" t="s">
        <v>194</v>
      </c>
      <c r="E106" s="85" t="s">
        <v>182</v>
      </c>
      <c r="F106" s="8" t="s">
        <v>164</v>
      </c>
      <c r="G106" s="10" t="s">
        <v>14</v>
      </c>
      <c r="H106" s="11">
        <v>1</v>
      </c>
      <c r="I106" s="12">
        <f>1048266.331</f>
        <v>1048266.331</v>
      </c>
      <c r="J106" s="13">
        <f t="shared" si="6"/>
        <v>1048266.331</v>
      </c>
      <c r="K106" s="28" t="s">
        <v>206</v>
      </c>
      <c r="L106" s="7" t="s">
        <v>201</v>
      </c>
      <c r="M106" s="14" t="s">
        <v>15</v>
      </c>
      <c r="N106" s="15">
        <v>0</v>
      </c>
    </row>
    <row r="107" spans="1:15" s="3" customFormat="1" ht="31.5">
      <c r="A107" s="27">
        <v>99</v>
      </c>
      <c r="B107" s="9" t="s">
        <v>120</v>
      </c>
      <c r="C107" s="7" t="s">
        <v>11</v>
      </c>
      <c r="D107" s="85" t="s">
        <v>196</v>
      </c>
      <c r="E107" s="85" t="s">
        <v>186</v>
      </c>
      <c r="F107" s="8" t="s">
        <v>164</v>
      </c>
      <c r="G107" s="10" t="s">
        <v>14</v>
      </c>
      <c r="H107" s="11">
        <v>1</v>
      </c>
      <c r="I107" s="12">
        <f>875631.504</f>
        <v>875631.50399999996</v>
      </c>
      <c r="J107" s="13">
        <f>H107*I107</f>
        <v>875631.50399999996</v>
      </c>
      <c r="K107" s="28" t="s">
        <v>206</v>
      </c>
      <c r="L107" s="7" t="s">
        <v>201</v>
      </c>
      <c r="M107" s="14" t="s">
        <v>15</v>
      </c>
      <c r="N107" s="15">
        <v>0</v>
      </c>
    </row>
    <row r="108" spans="1:15" s="3" customFormat="1" ht="31.5">
      <c r="A108" s="27">
        <v>100</v>
      </c>
      <c r="B108" s="9" t="s">
        <v>120</v>
      </c>
      <c r="C108" s="7" t="s">
        <v>11</v>
      </c>
      <c r="D108" s="85" t="s">
        <v>340</v>
      </c>
      <c r="E108" s="85" t="s">
        <v>309</v>
      </c>
      <c r="F108" s="8" t="s">
        <v>164</v>
      </c>
      <c r="G108" s="10" t="s">
        <v>14</v>
      </c>
      <c r="H108" s="11">
        <v>1</v>
      </c>
      <c r="I108" s="12">
        <f>81233.0304</f>
        <v>81233.030400000003</v>
      </c>
      <c r="J108" s="13">
        <f>H108*I108</f>
        <v>81233.030400000003</v>
      </c>
      <c r="K108" s="28" t="s">
        <v>206</v>
      </c>
      <c r="L108" s="7" t="s">
        <v>201</v>
      </c>
      <c r="M108" s="14" t="s">
        <v>15</v>
      </c>
      <c r="N108" s="15">
        <v>0</v>
      </c>
    </row>
    <row r="109" spans="1:15" s="3" customFormat="1" ht="31.5">
      <c r="A109" s="27">
        <v>101</v>
      </c>
      <c r="B109" s="9" t="s">
        <v>120</v>
      </c>
      <c r="C109" s="7" t="s">
        <v>11</v>
      </c>
      <c r="D109" s="85" t="s">
        <v>341</v>
      </c>
      <c r="E109" s="85" t="s">
        <v>310</v>
      </c>
      <c r="F109" s="8" t="s">
        <v>164</v>
      </c>
      <c r="G109" s="10" t="s">
        <v>14</v>
      </c>
      <c r="H109" s="11">
        <v>1</v>
      </c>
      <c r="I109" s="12">
        <f>126740.1732</f>
        <v>126740.1732</v>
      </c>
      <c r="J109" s="13">
        <f>H109*I109</f>
        <v>126740.1732</v>
      </c>
      <c r="K109" s="28" t="s">
        <v>206</v>
      </c>
      <c r="L109" s="7" t="s">
        <v>201</v>
      </c>
      <c r="M109" s="14" t="s">
        <v>15</v>
      </c>
      <c r="N109" s="15">
        <v>0</v>
      </c>
    </row>
    <row r="110" spans="1:15" s="3" customFormat="1" ht="47.25">
      <c r="A110" s="27">
        <v>102</v>
      </c>
      <c r="B110" s="9" t="s">
        <v>120</v>
      </c>
      <c r="C110" s="7" t="s">
        <v>11</v>
      </c>
      <c r="D110" s="85" t="s">
        <v>195</v>
      </c>
      <c r="E110" s="85" t="s">
        <v>183</v>
      </c>
      <c r="F110" s="8" t="s">
        <v>164</v>
      </c>
      <c r="G110" s="10" t="s">
        <v>14</v>
      </c>
      <c r="H110" s="11">
        <v>1</v>
      </c>
      <c r="I110" s="12">
        <f>114534.94/1.12</f>
        <v>102263.33928571428</v>
      </c>
      <c r="J110" s="13">
        <f>I110</f>
        <v>102263.33928571428</v>
      </c>
      <c r="K110" s="28" t="s">
        <v>206</v>
      </c>
      <c r="L110" s="7" t="s">
        <v>201</v>
      </c>
      <c r="M110" s="14" t="s">
        <v>15</v>
      </c>
      <c r="N110" s="15">
        <v>0</v>
      </c>
    </row>
    <row r="111" spans="1:15" s="3" customFormat="1" ht="63">
      <c r="A111" s="27">
        <v>103</v>
      </c>
      <c r="B111" s="9" t="s">
        <v>120</v>
      </c>
      <c r="C111" s="7" t="s">
        <v>11</v>
      </c>
      <c r="D111" s="85" t="s">
        <v>35</v>
      </c>
      <c r="E111" s="85" t="s">
        <v>36</v>
      </c>
      <c r="F111" s="8" t="s">
        <v>116</v>
      </c>
      <c r="G111" s="10" t="s">
        <v>14</v>
      </c>
      <c r="H111" s="11">
        <v>1</v>
      </c>
      <c r="I111" s="12">
        <f>129600/1.12-19285.71</f>
        <v>96428.575714285718</v>
      </c>
      <c r="J111" s="13">
        <f>H111*I111</f>
        <v>96428.575714285718</v>
      </c>
      <c r="K111" s="28" t="s">
        <v>206</v>
      </c>
      <c r="L111" s="7" t="s">
        <v>201</v>
      </c>
      <c r="M111" s="14" t="s">
        <v>15</v>
      </c>
      <c r="N111" s="15">
        <v>0</v>
      </c>
      <c r="O111" s="76"/>
    </row>
    <row r="112" spans="1:15" s="3" customFormat="1" ht="63">
      <c r="A112" s="27">
        <v>104</v>
      </c>
      <c r="B112" s="9" t="s">
        <v>120</v>
      </c>
      <c r="C112" s="7" t="s">
        <v>11</v>
      </c>
      <c r="D112" s="85" t="s">
        <v>185</v>
      </c>
      <c r="E112" s="85" t="s">
        <v>184</v>
      </c>
      <c r="F112" s="8" t="s">
        <v>116</v>
      </c>
      <c r="G112" s="10" t="s">
        <v>14</v>
      </c>
      <c r="H112" s="11">
        <v>1</v>
      </c>
      <c r="I112" s="12">
        <f>42414.8/1.12-6720/1.12</f>
        <v>31870.357142857145</v>
      </c>
      <c r="J112" s="13">
        <f>H112*I112</f>
        <v>31870.357142857145</v>
      </c>
      <c r="K112" s="28" t="s">
        <v>206</v>
      </c>
      <c r="L112" s="7" t="s">
        <v>201</v>
      </c>
      <c r="M112" s="14" t="s">
        <v>15</v>
      </c>
      <c r="N112" s="15">
        <v>0</v>
      </c>
      <c r="O112" s="76"/>
    </row>
    <row r="113" spans="1:15" s="3" customFormat="1" ht="63">
      <c r="A113" s="27">
        <v>105</v>
      </c>
      <c r="B113" s="9" t="s">
        <v>120</v>
      </c>
      <c r="C113" s="7" t="s">
        <v>11</v>
      </c>
      <c r="D113" s="85" t="s">
        <v>197</v>
      </c>
      <c r="E113" s="85" t="s">
        <v>215</v>
      </c>
      <c r="F113" s="8" t="s">
        <v>159</v>
      </c>
      <c r="G113" s="10" t="s">
        <v>14</v>
      </c>
      <c r="H113" s="11">
        <v>1</v>
      </c>
      <c r="I113" s="12">
        <f>675897.6/1.12-96440</f>
        <v>507039.99999999988</v>
      </c>
      <c r="J113" s="13">
        <f t="shared" ref="J113:J115" si="7">H113*I113</f>
        <v>507039.99999999988</v>
      </c>
      <c r="K113" s="28" t="s">
        <v>206</v>
      </c>
      <c r="L113" s="7" t="s">
        <v>201</v>
      </c>
      <c r="M113" s="14" t="s">
        <v>15</v>
      </c>
      <c r="N113" s="15">
        <v>0</v>
      </c>
      <c r="O113" s="76"/>
    </row>
    <row r="114" spans="1:15" s="3" customFormat="1" ht="63">
      <c r="A114" s="27">
        <v>106</v>
      </c>
      <c r="B114" s="9" t="s">
        <v>120</v>
      </c>
      <c r="C114" s="7" t="s">
        <v>11</v>
      </c>
      <c r="D114" s="85" t="s">
        <v>214</v>
      </c>
      <c r="E114" s="85" t="s">
        <v>37</v>
      </c>
      <c r="F114" s="8" t="s">
        <v>359</v>
      </c>
      <c r="G114" s="10" t="s">
        <v>14</v>
      </c>
      <c r="H114" s="11">
        <v>1</v>
      </c>
      <c r="I114" s="12">
        <f>207090.39</f>
        <v>207090.39</v>
      </c>
      <c r="J114" s="13">
        <f t="shared" si="7"/>
        <v>207090.39</v>
      </c>
      <c r="K114" s="28" t="s">
        <v>206</v>
      </c>
      <c r="L114" s="7" t="s">
        <v>201</v>
      </c>
      <c r="M114" s="14" t="s">
        <v>15</v>
      </c>
      <c r="N114" s="15">
        <v>0</v>
      </c>
    </row>
    <row r="115" spans="1:15" s="3" customFormat="1" ht="63">
      <c r="A115" s="27">
        <v>107</v>
      </c>
      <c r="B115" s="9" t="s">
        <v>120</v>
      </c>
      <c r="C115" s="7" t="s">
        <v>11</v>
      </c>
      <c r="D115" s="85" t="s">
        <v>198</v>
      </c>
      <c r="E115" s="85" t="s">
        <v>38</v>
      </c>
      <c r="F115" s="8" t="s">
        <v>359</v>
      </c>
      <c r="G115" s="10" t="s">
        <v>14</v>
      </c>
      <c r="H115" s="11">
        <v>1</v>
      </c>
      <c r="I115" s="12">
        <f>40000/1.12</f>
        <v>35714.28571428571</v>
      </c>
      <c r="J115" s="13">
        <f t="shared" si="7"/>
        <v>35714.28571428571</v>
      </c>
      <c r="K115" s="28" t="s">
        <v>206</v>
      </c>
      <c r="L115" s="7" t="s">
        <v>201</v>
      </c>
      <c r="M115" s="14" t="s">
        <v>15</v>
      </c>
      <c r="N115" s="15">
        <v>0</v>
      </c>
    </row>
    <row r="116" spans="1:15" s="3" customFormat="1" ht="31.5">
      <c r="A116" s="27">
        <v>108</v>
      </c>
      <c r="B116" s="9" t="s">
        <v>120</v>
      </c>
      <c r="C116" s="7" t="s">
        <v>11</v>
      </c>
      <c r="D116" s="85" t="s">
        <v>39</v>
      </c>
      <c r="E116" s="85" t="s">
        <v>40</v>
      </c>
      <c r="F116" s="8" t="s">
        <v>190</v>
      </c>
      <c r="G116" s="10" t="s">
        <v>14</v>
      </c>
      <c r="H116" s="11">
        <v>1</v>
      </c>
      <c r="I116" s="12">
        <f>139131.34-27529.76</f>
        <v>111601.58</v>
      </c>
      <c r="J116" s="13">
        <f>I116</f>
        <v>111601.58</v>
      </c>
      <c r="K116" s="28" t="s">
        <v>206</v>
      </c>
      <c r="L116" s="7" t="s">
        <v>201</v>
      </c>
      <c r="M116" s="14" t="s">
        <v>15</v>
      </c>
      <c r="N116" s="15">
        <v>0</v>
      </c>
      <c r="O116" s="76"/>
    </row>
    <row r="117" spans="1:15" s="3" customFormat="1" ht="63">
      <c r="A117" s="27">
        <v>109</v>
      </c>
      <c r="B117" s="9" t="s">
        <v>120</v>
      </c>
      <c r="C117" s="7" t="s">
        <v>11</v>
      </c>
      <c r="D117" s="85" t="s">
        <v>336</v>
      </c>
      <c r="E117" s="85" t="s">
        <v>311</v>
      </c>
      <c r="F117" s="8" t="s">
        <v>116</v>
      </c>
      <c r="G117" s="10" t="s">
        <v>14</v>
      </c>
      <c r="H117" s="11">
        <v>1</v>
      </c>
      <c r="I117" s="12">
        <f>219758/1.12</f>
        <v>196212.49999999997</v>
      </c>
      <c r="J117" s="13">
        <f>H117*I117</f>
        <v>196212.49999999997</v>
      </c>
      <c r="K117" s="14" t="s">
        <v>208</v>
      </c>
      <c r="L117" s="7" t="s">
        <v>203</v>
      </c>
      <c r="M117" s="14" t="s">
        <v>15</v>
      </c>
      <c r="N117" s="15">
        <v>0</v>
      </c>
    </row>
    <row r="118" spans="1:15" s="3" customFormat="1" ht="47.25">
      <c r="A118" s="27">
        <v>110</v>
      </c>
      <c r="B118" s="9" t="s">
        <v>120</v>
      </c>
      <c r="C118" s="7" t="s">
        <v>11</v>
      </c>
      <c r="D118" s="85" t="s">
        <v>41</v>
      </c>
      <c r="E118" s="85" t="s">
        <v>42</v>
      </c>
      <c r="F118" s="8" t="s">
        <v>164</v>
      </c>
      <c r="G118" s="10" t="s">
        <v>14</v>
      </c>
      <c r="H118" s="11">
        <v>1</v>
      </c>
      <c r="I118" s="12">
        <f>5298477.21+2330031.43-1466111.11</f>
        <v>6162397.5300000003</v>
      </c>
      <c r="J118" s="13">
        <f>H118*I118</f>
        <v>6162397.5300000003</v>
      </c>
      <c r="K118" s="28" t="s">
        <v>206</v>
      </c>
      <c r="L118" s="7" t="s">
        <v>201</v>
      </c>
      <c r="M118" s="14" t="s">
        <v>15</v>
      </c>
      <c r="N118" s="15">
        <v>0</v>
      </c>
      <c r="O118" s="76"/>
    </row>
    <row r="119" spans="1:15" s="3" customFormat="1" ht="63">
      <c r="A119" s="27">
        <v>111</v>
      </c>
      <c r="B119" s="9" t="s">
        <v>120</v>
      </c>
      <c r="C119" s="7" t="s">
        <v>22</v>
      </c>
      <c r="D119" s="85" t="s">
        <v>188</v>
      </c>
      <c r="E119" s="85" t="s">
        <v>187</v>
      </c>
      <c r="F119" s="8" t="s">
        <v>116</v>
      </c>
      <c r="G119" s="10" t="s">
        <v>23</v>
      </c>
      <c r="H119" s="11">
        <v>20</v>
      </c>
      <c r="I119" s="12">
        <f>15733.2/1.12</f>
        <v>14047.5</v>
      </c>
      <c r="J119" s="13">
        <f>H119*I119</f>
        <v>280950</v>
      </c>
      <c r="K119" s="14" t="s">
        <v>208</v>
      </c>
      <c r="L119" s="7" t="s">
        <v>203</v>
      </c>
      <c r="M119" s="14" t="s">
        <v>15</v>
      </c>
      <c r="N119" s="15">
        <v>0</v>
      </c>
    </row>
    <row r="120" spans="1:15" s="3" customFormat="1" ht="38.450000000000003" customHeight="1">
      <c r="A120" s="27">
        <v>112</v>
      </c>
      <c r="B120" s="9" t="s">
        <v>120</v>
      </c>
      <c r="C120" s="7" t="s">
        <v>11</v>
      </c>
      <c r="D120" s="85" t="s">
        <v>43</v>
      </c>
      <c r="E120" s="85" t="s">
        <v>44</v>
      </c>
      <c r="F120" s="8" t="s">
        <v>72</v>
      </c>
      <c r="G120" s="10" t="s">
        <v>14</v>
      </c>
      <c r="H120" s="11">
        <v>1</v>
      </c>
      <c r="I120" s="12">
        <f>11200000/1.12</f>
        <v>9999999.9999999981</v>
      </c>
      <c r="J120" s="13">
        <f>H120*I120</f>
        <v>9999999.9999999981</v>
      </c>
      <c r="K120" s="14" t="s">
        <v>208</v>
      </c>
      <c r="L120" s="7" t="s">
        <v>205</v>
      </c>
      <c r="M120" s="14" t="s">
        <v>15</v>
      </c>
      <c r="N120" s="15">
        <v>50</v>
      </c>
    </row>
    <row r="121" spans="1:15" s="3" customFormat="1" ht="32.450000000000003" customHeight="1">
      <c r="A121" s="27">
        <v>113</v>
      </c>
      <c r="B121" s="9" t="s">
        <v>120</v>
      </c>
      <c r="C121" s="7" t="s">
        <v>11</v>
      </c>
      <c r="D121" s="85" t="s">
        <v>331</v>
      </c>
      <c r="E121" s="85" t="s">
        <v>312</v>
      </c>
      <c r="F121" s="8" t="s">
        <v>72</v>
      </c>
      <c r="G121" s="10" t="s">
        <v>14</v>
      </c>
      <c r="H121" s="11">
        <v>1</v>
      </c>
      <c r="I121" s="12">
        <f>4000000/1.12</f>
        <v>3571428.5714285709</v>
      </c>
      <c r="J121" s="13">
        <f>H121*I121</f>
        <v>3571428.5714285709</v>
      </c>
      <c r="K121" s="14" t="s">
        <v>208</v>
      </c>
      <c r="L121" s="7" t="s">
        <v>208</v>
      </c>
      <c r="M121" s="14" t="s">
        <v>15</v>
      </c>
      <c r="N121" s="15">
        <v>0</v>
      </c>
    </row>
    <row r="122" spans="1:15" s="3" customFormat="1" ht="63">
      <c r="A122" s="27">
        <v>114</v>
      </c>
      <c r="B122" s="9" t="s">
        <v>120</v>
      </c>
      <c r="C122" s="7" t="s">
        <v>22</v>
      </c>
      <c r="D122" s="85" t="s">
        <v>46</v>
      </c>
      <c r="E122" s="85" t="s">
        <v>47</v>
      </c>
      <c r="F122" s="8" t="s">
        <v>116</v>
      </c>
      <c r="G122" s="10" t="s">
        <v>23</v>
      </c>
      <c r="H122" s="11">
        <v>300</v>
      </c>
      <c r="I122" s="12">
        <f>30/1.12</f>
        <v>26.785714285714285</v>
      </c>
      <c r="J122" s="13">
        <f t="shared" ref="J122:J133" si="8">H122*I122</f>
        <v>8035.7142857142853</v>
      </c>
      <c r="K122" s="28" t="s">
        <v>206</v>
      </c>
      <c r="L122" s="7" t="s">
        <v>206</v>
      </c>
      <c r="M122" s="14" t="s">
        <v>15</v>
      </c>
      <c r="N122" s="15">
        <v>0</v>
      </c>
    </row>
    <row r="123" spans="1:15" s="3" customFormat="1" ht="63">
      <c r="A123" s="27">
        <v>115</v>
      </c>
      <c r="B123" s="9" t="s">
        <v>120</v>
      </c>
      <c r="C123" s="7" t="s">
        <v>11</v>
      </c>
      <c r="D123" s="85" t="s">
        <v>49</v>
      </c>
      <c r="E123" s="85" t="s">
        <v>50</v>
      </c>
      <c r="F123" s="8" t="s">
        <v>116</v>
      </c>
      <c r="G123" s="10" t="s">
        <v>14</v>
      </c>
      <c r="H123" s="11">
        <v>1</v>
      </c>
      <c r="I123" s="12">
        <f>108000/1.12</f>
        <v>96428.57142857142</v>
      </c>
      <c r="J123" s="13">
        <f t="shared" si="8"/>
        <v>96428.57142857142</v>
      </c>
      <c r="K123" s="28" t="s">
        <v>206</v>
      </c>
      <c r="L123" s="7" t="s">
        <v>201</v>
      </c>
      <c r="M123" s="14" t="s">
        <v>15</v>
      </c>
      <c r="N123" s="15">
        <v>0</v>
      </c>
    </row>
    <row r="124" spans="1:15" s="3" customFormat="1" ht="63">
      <c r="A124" s="27">
        <v>116</v>
      </c>
      <c r="B124" s="9" t="s">
        <v>120</v>
      </c>
      <c r="C124" s="7" t="s">
        <v>11</v>
      </c>
      <c r="D124" s="85" t="s">
        <v>51</v>
      </c>
      <c r="E124" s="85" t="s">
        <v>52</v>
      </c>
      <c r="F124" s="8" t="s">
        <v>116</v>
      </c>
      <c r="G124" s="10" t="s">
        <v>14</v>
      </c>
      <c r="H124" s="11">
        <v>1</v>
      </c>
      <c r="I124" s="12">
        <f>58408.08/1.12</f>
        <v>52150.071428571428</v>
      </c>
      <c r="J124" s="13">
        <f t="shared" si="8"/>
        <v>52150.071428571428</v>
      </c>
      <c r="K124" s="28" t="s">
        <v>206</v>
      </c>
      <c r="L124" s="7" t="s">
        <v>201</v>
      </c>
      <c r="M124" s="14" t="s">
        <v>15</v>
      </c>
      <c r="N124" s="15">
        <v>100</v>
      </c>
    </row>
    <row r="125" spans="1:15" s="3" customFormat="1" ht="63">
      <c r="A125" s="27">
        <v>117</v>
      </c>
      <c r="B125" s="9" t="s">
        <v>120</v>
      </c>
      <c r="C125" s="7" t="s">
        <v>22</v>
      </c>
      <c r="D125" s="85" t="s">
        <v>383</v>
      </c>
      <c r="E125" s="85" t="s">
        <v>375</v>
      </c>
      <c r="F125" s="8" t="s">
        <v>159</v>
      </c>
      <c r="G125" s="10" t="s">
        <v>23</v>
      </c>
      <c r="H125" s="11">
        <v>3</v>
      </c>
      <c r="I125" s="12">
        <f>319300.84/1.12</f>
        <v>285090.03571428568</v>
      </c>
      <c r="J125" s="13">
        <f t="shared" si="8"/>
        <v>855270.10714285704</v>
      </c>
      <c r="K125" s="14" t="s">
        <v>208</v>
      </c>
      <c r="L125" s="7" t="s">
        <v>204</v>
      </c>
      <c r="M125" s="14" t="s">
        <v>15</v>
      </c>
      <c r="N125" s="15">
        <v>0</v>
      </c>
    </row>
    <row r="126" spans="1:15" s="3" customFormat="1" ht="63">
      <c r="A126" s="27">
        <v>118</v>
      </c>
      <c r="B126" s="9" t="s">
        <v>120</v>
      </c>
      <c r="C126" s="7" t="s">
        <v>22</v>
      </c>
      <c r="D126" s="85" t="s">
        <v>382</v>
      </c>
      <c r="E126" s="85" t="s">
        <v>376</v>
      </c>
      <c r="F126" s="8" t="s">
        <v>116</v>
      </c>
      <c r="G126" s="10" t="s">
        <v>23</v>
      </c>
      <c r="H126" s="11">
        <v>3</v>
      </c>
      <c r="I126" s="12">
        <f>81170.2/1.12</f>
        <v>72473.392857142841</v>
      </c>
      <c r="J126" s="13">
        <f t="shared" si="8"/>
        <v>217420.17857142852</v>
      </c>
      <c r="K126" s="14" t="s">
        <v>208</v>
      </c>
      <c r="L126" s="7" t="s">
        <v>204</v>
      </c>
      <c r="M126" s="14" t="s">
        <v>15</v>
      </c>
      <c r="N126" s="15">
        <v>0</v>
      </c>
    </row>
    <row r="127" spans="1:15" s="3" customFormat="1" ht="63">
      <c r="A127" s="27">
        <v>119</v>
      </c>
      <c r="B127" s="9" t="s">
        <v>120</v>
      </c>
      <c r="C127" s="7" t="s">
        <v>22</v>
      </c>
      <c r="D127" s="85" t="s">
        <v>381</v>
      </c>
      <c r="E127" s="85" t="s">
        <v>377</v>
      </c>
      <c r="F127" s="8" t="s">
        <v>159</v>
      </c>
      <c r="G127" s="10" t="s">
        <v>23</v>
      </c>
      <c r="H127" s="11">
        <v>1</v>
      </c>
      <c r="I127" s="12">
        <f>1372803.58/1.12</f>
        <v>1225717.482142857</v>
      </c>
      <c r="J127" s="13">
        <f t="shared" si="8"/>
        <v>1225717.482142857</v>
      </c>
      <c r="K127" s="14" t="s">
        <v>208</v>
      </c>
      <c r="L127" s="7" t="s">
        <v>204</v>
      </c>
      <c r="M127" s="14" t="s">
        <v>15</v>
      </c>
      <c r="N127" s="15">
        <v>0</v>
      </c>
    </row>
    <row r="128" spans="1:15" s="3" customFormat="1" ht="63">
      <c r="A128" s="27">
        <v>120</v>
      </c>
      <c r="B128" s="9" t="s">
        <v>120</v>
      </c>
      <c r="C128" s="7" t="s">
        <v>22</v>
      </c>
      <c r="D128" s="85" t="s">
        <v>384</v>
      </c>
      <c r="E128" s="85" t="s">
        <v>378</v>
      </c>
      <c r="F128" s="8" t="s">
        <v>159</v>
      </c>
      <c r="G128" s="10" t="s">
        <v>23</v>
      </c>
      <c r="H128" s="11">
        <v>2</v>
      </c>
      <c r="I128" s="12">
        <f>619839.23/1.12</f>
        <v>553427.88392857136</v>
      </c>
      <c r="J128" s="13">
        <f t="shared" si="8"/>
        <v>1106855.7678571427</v>
      </c>
      <c r="K128" s="14" t="s">
        <v>208</v>
      </c>
      <c r="L128" s="7" t="s">
        <v>204</v>
      </c>
      <c r="M128" s="14" t="s">
        <v>15</v>
      </c>
      <c r="N128" s="15">
        <v>0</v>
      </c>
    </row>
    <row r="129" spans="1:14" s="3" customFormat="1" ht="63">
      <c r="A129" s="27">
        <v>121</v>
      </c>
      <c r="B129" s="9" t="s">
        <v>120</v>
      </c>
      <c r="C129" s="7" t="s">
        <v>22</v>
      </c>
      <c r="D129" s="85" t="s">
        <v>380</v>
      </c>
      <c r="E129" s="85" t="s">
        <v>379</v>
      </c>
      <c r="F129" s="8" t="s">
        <v>116</v>
      </c>
      <c r="G129" s="10" t="s">
        <v>23</v>
      </c>
      <c r="H129" s="11">
        <v>1</v>
      </c>
      <c r="I129" s="12">
        <f>466755.4/1.12</f>
        <v>416745.89285714284</v>
      </c>
      <c r="J129" s="13">
        <f t="shared" si="8"/>
        <v>416745.89285714284</v>
      </c>
      <c r="K129" s="14" t="s">
        <v>208</v>
      </c>
      <c r="L129" s="7" t="s">
        <v>204</v>
      </c>
      <c r="M129" s="14" t="s">
        <v>15</v>
      </c>
      <c r="N129" s="15">
        <v>0</v>
      </c>
    </row>
    <row r="130" spans="1:14" s="3" customFormat="1" ht="43.9" customHeight="1">
      <c r="A130" s="27">
        <v>122</v>
      </c>
      <c r="B130" s="9" t="s">
        <v>120</v>
      </c>
      <c r="C130" s="7" t="s">
        <v>22</v>
      </c>
      <c r="D130" s="85" t="s">
        <v>330</v>
      </c>
      <c r="E130" s="85" t="s">
        <v>313</v>
      </c>
      <c r="F130" s="8" t="s">
        <v>164</v>
      </c>
      <c r="G130" s="10" t="s">
        <v>23</v>
      </c>
      <c r="H130" s="11">
        <v>1</v>
      </c>
      <c r="I130" s="12">
        <f>10000000/1.12</f>
        <v>8928571.4285714272</v>
      </c>
      <c r="J130" s="13">
        <f t="shared" si="8"/>
        <v>8928571.4285714272</v>
      </c>
      <c r="K130" s="14" t="s">
        <v>208</v>
      </c>
      <c r="L130" s="7" t="s">
        <v>204</v>
      </c>
      <c r="M130" s="14" t="s">
        <v>15</v>
      </c>
      <c r="N130" s="15">
        <v>0</v>
      </c>
    </row>
    <row r="131" spans="1:14" s="3" customFormat="1" ht="63">
      <c r="A131" s="27">
        <v>123</v>
      </c>
      <c r="B131" s="9" t="s">
        <v>120</v>
      </c>
      <c r="C131" s="7" t="s">
        <v>22</v>
      </c>
      <c r="D131" s="85" t="s">
        <v>337</v>
      </c>
      <c r="E131" s="85" t="s">
        <v>314</v>
      </c>
      <c r="F131" s="8" t="s">
        <v>159</v>
      </c>
      <c r="G131" s="10" t="s">
        <v>23</v>
      </c>
      <c r="H131" s="11">
        <v>1</v>
      </c>
      <c r="I131" s="12">
        <f>2844990/1.12</f>
        <v>2540169.6428571427</v>
      </c>
      <c r="J131" s="13">
        <f t="shared" si="8"/>
        <v>2540169.6428571427</v>
      </c>
      <c r="K131" s="14" t="s">
        <v>208</v>
      </c>
      <c r="L131" s="7" t="s">
        <v>208</v>
      </c>
      <c r="M131" s="14" t="s">
        <v>15</v>
      </c>
      <c r="N131" s="15">
        <v>0</v>
      </c>
    </row>
    <row r="132" spans="1:14" s="3" customFormat="1" ht="63">
      <c r="A132" s="27">
        <v>124</v>
      </c>
      <c r="B132" s="9" t="s">
        <v>120</v>
      </c>
      <c r="C132" s="7" t="s">
        <v>22</v>
      </c>
      <c r="D132" s="85" t="s">
        <v>338</v>
      </c>
      <c r="E132" s="85" t="s">
        <v>315</v>
      </c>
      <c r="F132" s="8" t="s">
        <v>159</v>
      </c>
      <c r="G132" s="10" t="s">
        <v>23</v>
      </c>
      <c r="H132" s="11">
        <v>1</v>
      </c>
      <c r="I132" s="12">
        <f>2251370/1.12</f>
        <v>2010151.7857142854</v>
      </c>
      <c r="J132" s="13">
        <f t="shared" si="8"/>
        <v>2010151.7857142854</v>
      </c>
      <c r="K132" s="14" t="s">
        <v>208</v>
      </c>
      <c r="L132" s="7" t="s">
        <v>208</v>
      </c>
      <c r="M132" s="14" t="s">
        <v>15</v>
      </c>
      <c r="N132" s="15">
        <v>0</v>
      </c>
    </row>
    <row r="133" spans="1:14" s="3" customFormat="1" ht="63.75" thickBot="1">
      <c r="A133" s="88">
        <v>125</v>
      </c>
      <c r="B133" s="89" t="s">
        <v>120</v>
      </c>
      <c r="C133" s="90" t="s">
        <v>22</v>
      </c>
      <c r="D133" s="91" t="s">
        <v>339</v>
      </c>
      <c r="E133" s="91" t="s">
        <v>316</v>
      </c>
      <c r="F133" s="92" t="s">
        <v>116</v>
      </c>
      <c r="G133" s="93" t="s">
        <v>23</v>
      </c>
      <c r="H133" s="94">
        <v>1</v>
      </c>
      <c r="I133" s="95">
        <f>292130/1.12</f>
        <v>260830.35714285713</v>
      </c>
      <c r="J133" s="96">
        <f t="shared" si="8"/>
        <v>260830.35714285713</v>
      </c>
      <c r="K133" s="97" t="s">
        <v>208</v>
      </c>
      <c r="L133" s="90" t="s">
        <v>208</v>
      </c>
      <c r="M133" s="97" t="s">
        <v>15</v>
      </c>
      <c r="N133" s="116">
        <v>0</v>
      </c>
    </row>
    <row r="134" spans="1:14" s="3" customFormat="1" ht="15.75">
      <c r="A134" s="35"/>
      <c r="B134" s="35"/>
      <c r="C134" s="77"/>
      <c r="D134" s="78"/>
      <c r="E134" s="78"/>
      <c r="F134" s="79"/>
      <c r="G134" s="80"/>
      <c r="H134" s="81"/>
      <c r="I134" s="82"/>
      <c r="J134" s="83"/>
      <c r="K134" s="84"/>
      <c r="L134" s="84"/>
      <c r="M134" s="84"/>
      <c r="N134" s="35"/>
    </row>
    <row r="135" spans="1:14" ht="45.6" customHeight="1">
      <c r="D135" s="141" t="s">
        <v>56</v>
      </c>
      <c r="E135" s="142"/>
      <c r="F135" s="141" t="s">
        <v>74</v>
      </c>
      <c r="G135" s="142"/>
      <c r="H135" s="114"/>
      <c r="I135" s="114"/>
      <c r="J135" s="114"/>
      <c r="K135" s="114"/>
      <c r="L135" s="114"/>
      <c r="M135" s="114"/>
      <c r="N135" s="114"/>
    </row>
    <row r="136" spans="1:14" ht="21.6" customHeight="1"/>
    <row r="137" spans="1:14" ht="37.5">
      <c r="D137" s="136" t="s">
        <v>57</v>
      </c>
      <c r="E137" s="136"/>
      <c r="F137" s="141" t="s">
        <v>75</v>
      </c>
      <c r="G137" s="120"/>
      <c r="I137" s="113" t="s">
        <v>83</v>
      </c>
    </row>
    <row r="138" spans="1:14" ht="18.75">
      <c r="D138" s="111"/>
      <c r="E138" s="111"/>
      <c r="F138" s="112"/>
      <c r="J138" s="22" t="s">
        <v>81</v>
      </c>
    </row>
    <row r="139" spans="1:14" ht="18.75">
      <c r="D139" s="136" t="s">
        <v>76</v>
      </c>
      <c r="E139" s="136"/>
      <c r="F139" s="141" t="s">
        <v>317</v>
      </c>
      <c r="G139" s="120"/>
    </row>
    <row r="140" spans="1:14" ht="18.75">
      <c r="D140" s="111"/>
      <c r="E140" s="111"/>
      <c r="F140" s="112"/>
      <c r="J140" s="22" t="s">
        <v>209</v>
      </c>
    </row>
    <row r="141" spans="1:14" ht="18.75">
      <c r="D141" s="136" t="s">
        <v>318</v>
      </c>
      <c r="E141" s="136"/>
      <c r="F141" s="141" t="s">
        <v>319</v>
      </c>
      <c r="G141" s="120"/>
    </row>
    <row r="142" spans="1:14" ht="18.75">
      <c r="F142" s="112"/>
      <c r="H142" s="22"/>
      <c r="J142" s="22" t="s">
        <v>320</v>
      </c>
      <c r="K142" s="22"/>
      <c r="L142" s="22"/>
      <c r="M142" s="22"/>
      <c r="N142" s="22"/>
    </row>
    <row r="143" spans="1:14" ht="18.75">
      <c r="D143" s="136" t="s">
        <v>59</v>
      </c>
      <c r="E143" s="136"/>
      <c r="F143" s="141" t="s">
        <v>77</v>
      </c>
      <c r="G143" s="120"/>
      <c r="H143" s="22"/>
      <c r="J143" s="22"/>
      <c r="K143" s="22"/>
      <c r="L143" s="22"/>
      <c r="M143" s="22"/>
      <c r="N143" s="22"/>
    </row>
    <row r="144" spans="1:14" ht="18.75">
      <c r="F144" s="112"/>
      <c r="H144" s="22"/>
      <c r="I144" s="22"/>
      <c r="J144" s="22" t="s">
        <v>80</v>
      </c>
      <c r="K144" s="22"/>
      <c r="L144" s="22"/>
      <c r="M144" s="22"/>
      <c r="N144" s="22"/>
    </row>
    <row r="145" spans="4:14" ht="18.75">
      <c r="D145" s="136" t="s">
        <v>60</v>
      </c>
      <c r="E145" s="136"/>
      <c r="F145" s="141" t="s">
        <v>79</v>
      </c>
      <c r="G145" s="120"/>
      <c r="H145" s="22"/>
      <c r="I145" s="22"/>
      <c r="J145" s="22"/>
      <c r="K145" s="22"/>
      <c r="L145" s="22"/>
      <c r="M145" s="22"/>
      <c r="N145" s="22"/>
    </row>
    <row r="146" spans="4:14" ht="18.75">
      <c r="G146" s="22"/>
      <c r="H146" s="22"/>
      <c r="I146" s="22"/>
      <c r="J146" s="22" t="s">
        <v>362</v>
      </c>
      <c r="K146" s="22"/>
      <c r="L146" s="22"/>
      <c r="M146" s="22"/>
      <c r="N146" s="22"/>
    </row>
    <row r="151" spans="4:14" ht="15.75">
      <c r="G151" s="136" t="s">
        <v>58</v>
      </c>
      <c r="H151" s="120"/>
      <c r="I151" s="120"/>
      <c r="J151" s="120"/>
      <c r="K151" s="120"/>
      <c r="L151" s="120"/>
      <c r="M151" s="120"/>
      <c r="N151" s="120"/>
    </row>
    <row r="152" spans="4:14" ht="18.75">
      <c r="G152" s="22"/>
      <c r="H152" s="22"/>
      <c r="J152" s="22"/>
      <c r="K152" s="22"/>
      <c r="L152" s="22"/>
      <c r="M152" s="22"/>
      <c r="N152" s="22"/>
    </row>
    <row r="153" spans="4:14" ht="18.75">
      <c r="G153" s="22"/>
      <c r="H153" s="22"/>
      <c r="J153" s="22"/>
      <c r="K153" s="22"/>
      <c r="L153" s="22"/>
      <c r="M153" s="22"/>
      <c r="N153" s="22"/>
    </row>
    <row r="154" spans="4:14" ht="18.75">
      <c r="G154" s="22"/>
      <c r="H154" s="22"/>
      <c r="J154" s="22"/>
      <c r="K154" s="22"/>
      <c r="L154" s="22"/>
      <c r="M154" s="22"/>
      <c r="N154" s="22"/>
    </row>
    <row r="155" spans="4:14" ht="18.75">
      <c r="G155" s="22" t="s">
        <v>61</v>
      </c>
      <c r="H155" s="22"/>
      <c r="J155" s="22"/>
      <c r="K155" s="22"/>
      <c r="L155" s="22"/>
      <c r="M155" s="22"/>
      <c r="N155" s="22"/>
    </row>
  </sheetData>
  <mergeCells count="29">
    <mergeCell ref="D145:E145"/>
    <mergeCell ref="G151:N151"/>
    <mergeCell ref="F145:G145"/>
    <mergeCell ref="F143:G143"/>
    <mergeCell ref="F137:G137"/>
    <mergeCell ref="F141:G141"/>
    <mergeCell ref="F139:G139"/>
    <mergeCell ref="D139:E139"/>
    <mergeCell ref="D141:E141"/>
    <mergeCell ref="D143:E143"/>
    <mergeCell ref="O102:O103"/>
    <mergeCell ref="D135:E135"/>
    <mergeCell ref="D137:E137"/>
    <mergeCell ref="J6:J7"/>
    <mergeCell ref="K6:K7"/>
    <mergeCell ref="L6:L7"/>
    <mergeCell ref="M6:M7"/>
    <mergeCell ref="N6:N7"/>
    <mergeCell ref="F135:G135"/>
    <mergeCell ref="A2:I2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dataValidations count="2">
    <dataValidation allowBlank="1" showInputMessage="1" showErrorMessage="1" prompt="Единица измерения заполняется автоматически в соответствии с КТРУ" sqref="G102 G14:G15"/>
    <dataValidation allowBlank="1" showInputMessage="1" showErrorMessage="1" prompt="Введите дополнительную характеристику на государственном языке" sqref="D129"/>
  </dataValidations>
  <pageMargins left="0.70866141732283472" right="0.70866141732283472" top="0.35433070866141736" bottom="0.11811023622047245" header="0.31496062992125984" footer="0.31496062992125984"/>
  <pageSetup paperSize="8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для размещ на сайте</vt:lpstr>
      <vt:lpstr>'для размещ на сайте'!Заголовки_для_печати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Толеш Райгул Саликызы</dc:creator>
  <cp:lastModifiedBy>Lisa</cp:lastModifiedBy>
  <cp:lastPrinted>2018-01-19T10:33:39Z</cp:lastPrinted>
  <dcterms:created xsi:type="dcterms:W3CDTF">2014-12-22T07:52:35Z</dcterms:created>
  <dcterms:modified xsi:type="dcterms:W3CDTF">2018-01-26T07:51:26Z</dcterms:modified>
</cp:coreProperties>
</file>