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840" windowWidth="10515" windowHeight="1530" tabRatio="877"/>
  </bookViews>
  <sheets>
    <sheet name="3. План ПЗ" sheetId="7" r:id="rId1"/>
    <sheet name="все коррек" sheetId="9" state="hidden" r:id="rId2"/>
    <sheet name="внутри статьи" sheetId="13" state="hidden" r:id="rId3"/>
    <sheet name="из одной  статьи в другую " sheetId="14" state="hidden" r:id="rId4"/>
    <sheet name="испол." sheetId="15" state="hidden" r:id="rId5"/>
    <sheet name="с владельцами нов" sheetId="16" state="hidden" r:id="rId6"/>
    <sheet name="Лист1" sheetId="17" state="hidden" r:id="rId7"/>
  </sheets>
  <externalReferences>
    <externalReference r:id="rId8"/>
    <externalReference r:id="rId9"/>
    <externalReference r:id="rId10"/>
  </externalReferences>
  <definedNames>
    <definedName name="АБП">'[1]Служебный ФКРБ'!$A$2:$A$136</definedName>
    <definedName name="ВидПредмета">'[1]Вид предмета'!$A$1:$A$3</definedName>
    <definedName name="_xlnm.Print_Titles" localSheetId="4">испол.!$3:$3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OFFSET([1]ОПГЗ!$A$1,MATCH('[1]План ГЗ'!$P1,[1]ОПГЗ!$A:$A,0)-1,1,COUNTIF([1]ОПГЗ!$A:$A,'[1]План ГЗ'!$P1),1)</definedName>
    <definedName name="пкк">[2]Месяцы!$A$1:$A$13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45621" refMode="R1C1"/>
</workbook>
</file>

<file path=xl/calcChain.xml><?xml version="1.0" encoding="utf-8"?>
<calcChain xmlns="http://schemas.openxmlformats.org/spreadsheetml/2006/main">
  <c r="F5" i="16" l="1"/>
  <c r="G5" i="16" s="1"/>
  <c r="J5" i="16" s="1"/>
  <c r="D13" i="16" l="1"/>
  <c r="I169" i="16"/>
  <c r="J169" i="16" s="1"/>
  <c r="J12" i="16"/>
  <c r="J13" i="16"/>
  <c r="J11" i="16"/>
  <c r="I186" i="16" l="1"/>
  <c r="J159" i="16"/>
  <c r="I156" i="16"/>
  <c r="J102" i="16"/>
  <c r="K102" i="16" s="1"/>
  <c r="I103" i="16"/>
  <c r="J103" i="16" s="1"/>
  <c r="K103" i="16" s="1"/>
  <c r="I105" i="16"/>
  <c r="J105" i="16"/>
  <c r="K105" i="16" s="1"/>
  <c r="I106" i="16"/>
  <c r="J106" i="16"/>
  <c r="K106" i="16" s="1"/>
  <c r="I107" i="16"/>
  <c r="J107" i="16"/>
  <c r="K107" i="16"/>
  <c r="I108" i="16"/>
  <c r="J108" i="16" s="1"/>
  <c r="K108" i="16" s="1"/>
  <c r="I109" i="16"/>
  <c r="J109" i="16" s="1"/>
  <c r="K109" i="16" s="1"/>
  <c r="I110" i="16"/>
  <c r="J110" i="16"/>
  <c r="K110" i="16"/>
  <c r="J111" i="16"/>
  <c r="K111" i="16"/>
  <c r="J112" i="16"/>
  <c r="K112" i="16"/>
  <c r="J113" i="16"/>
  <c r="K113" i="16" s="1"/>
  <c r="J114" i="16"/>
  <c r="K114" i="16" s="1"/>
  <c r="I115" i="16"/>
  <c r="J115" i="16"/>
  <c r="K115" i="16"/>
  <c r="J116" i="16"/>
  <c r="K116" i="16" s="1"/>
  <c r="I117" i="16"/>
  <c r="J117" i="16" s="1"/>
  <c r="K117" i="16" s="1"/>
  <c r="J118" i="16"/>
  <c r="K118" i="16" s="1"/>
  <c r="I119" i="16"/>
  <c r="J119" i="16"/>
  <c r="K119" i="16"/>
  <c r="I120" i="16"/>
  <c r="J120" i="16"/>
  <c r="K120" i="16"/>
  <c r="I121" i="16"/>
  <c r="J121" i="16" s="1"/>
  <c r="K121" i="16" s="1"/>
  <c r="I122" i="16"/>
  <c r="J122" i="16"/>
  <c r="K122" i="16" s="1"/>
  <c r="J123" i="16"/>
  <c r="K123" i="16"/>
  <c r="I124" i="16"/>
  <c r="J124" i="16" s="1"/>
  <c r="K124" i="16" s="1"/>
  <c r="I125" i="16"/>
  <c r="J125" i="16" s="1"/>
  <c r="K125" i="16" s="1"/>
  <c r="J126" i="16"/>
  <c r="K126" i="16" s="1"/>
  <c r="I127" i="16"/>
  <c r="J127" i="16"/>
  <c r="K127" i="16"/>
  <c r="I128" i="16"/>
  <c r="J128" i="16"/>
  <c r="K128" i="16"/>
  <c r="J129" i="16"/>
  <c r="K129" i="16" s="1"/>
  <c r="I130" i="16"/>
  <c r="J130" i="16"/>
  <c r="K130" i="16" s="1"/>
  <c r="J131" i="16"/>
  <c r="K131" i="16"/>
  <c r="J132" i="16"/>
  <c r="K132" i="16" s="1"/>
  <c r="J133" i="16"/>
  <c r="K133" i="16" s="1"/>
  <c r="J134" i="16"/>
  <c r="J135" i="16"/>
  <c r="K135" i="16" s="1"/>
  <c r="J136" i="16"/>
  <c r="K136" i="16"/>
  <c r="J101" i="16"/>
  <c r="K101" i="16" s="1"/>
  <c r="J100" i="16"/>
  <c r="K100" i="16" s="1"/>
  <c r="J99" i="16"/>
  <c r="I98" i="16"/>
  <c r="J98" i="16" s="1"/>
  <c r="K98" i="16" s="1"/>
  <c r="I99" i="16"/>
  <c r="I96" i="16"/>
  <c r="J96" i="16" s="1"/>
  <c r="K96" i="16" s="1"/>
  <c r="I94" i="16"/>
  <c r="I93" i="16"/>
  <c r="J93" i="16" s="1"/>
  <c r="K93" i="16" s="1"/>
  <c r="J94" i="16"/>
  <c r="K94" i="16" s="1"/>
  <c r="I97" i="16"/>
  <c r="J97" i="16" s="1"/>
  <c r="K97" i="16" s="1"/>
  <c r="I88" i="16"/>
  <c r="J88" i="16" s="1"/>
  <c r="K88" i="16" s="1"/>
  <c r="J85" i="16"/>
  <c r="K85" i="16" s="1"/>
  <c r="J86" i="16"/>
  <c r="K86" i="16" s="1"/>
  <c r="I85" i="16"/>
  <c r="I86" i="16"/>
  <c r="K81" i="16"/>
  <c r="J81" i="16"/>
  <c r="I81" i="16"/>
  <c r="I76" i="16"/>
  <c r="J76" i="16" s="1"/>
  <c r="K76" i="16" s="1"/>
  <c r="I74" i="16"/>
  <c r="J74" i="16" s="1"/>
  <c r="K74" i="16" s="1"/>
  <c r="I73" i="16"/>
  <c r="J73" i="16" s="1"/>
  <c r="K73" i="16" s="1"/>
  <c r="I72" i="16"/>
  <c r="J72" i="16" s="1"/>
  <c r="K72" i="16" s="1"/>
  <c r="J69" i="16"/>
  <c r="K69" i="16" s="1"/>
  <c r="J67" i="16"/>
  <c r="K67" i="16" s="1"/>
  <c r="I67" i="16"/>
  <c r="J66" i="16"/>
  <c r="K66" i="16" s="1"/>
  <c r="I65" i="16"/>
  <c r="J65" i="16" s="1"/>
  <c r="K65" i="16" s="1"/>
  <c r="J64" i="16"/>
  <c r="K64" i="16" s="1"/>
  <c r="I64" i="16"/>
  <c r="I63" i="16"/>
  <c r="J63" i="16" s="1"/>
  <c r="K63" i="16" s="1"/>
  <c r="J62" i="16"/>
  <c r="K62" i="16" s="1"/>
  <c r="J61" i="16"/>
  <c r="K61" i="16" s="1"/>
  <c r="I60" i="16"/>
  <c r="J60" i="16" s="1"/>
  <c r="K60" i="16" s="1"/>
  <c r="I59" i="16"/>
  <c r="J59" i="16" s="1"/>
  <c r="K59" i="16" s="1"/>
  <c r="I57" i="16"/>
  <c r="J57" i="16" s="1"/>
  <c r="K57" i="16" s="1"/>
  <c r="I56" i="16"/>
  <c r="J56" i="16" s="1"/>
  <c r="K56" i="16" s="1"/>
  <c r="I55" i="16"/>
  <c r="J55" i="16" s="1"/>
  <c r="K55" i="16" s="1"/>
  <c r="I54" i="16"/>
  <c r="J54" i="16" s="1"/>
  <c r="K54" i="16" s="1"/>
  <c r="I53" i="16"/>
  <c r="I52" i="16"/>
  <c r="J52" i="16" s="1"/>
  <c r="K52" i="16" s="1"/>
  <c r="I51" i="16"/>
  <c r="J51" i="16" s="1"/>
  <c r="K51" i="16" s="1"/>
  <c r="I48" i="16"/>
  <c r="J48" i="16" s="1"/>
  <c r="K48" i="16" s="1"/>
  <c r="I47" i="16"/>
  <c r="J47" i="16" s="1"/>
  <c r="K47" i="16" s="1"/>
  <c r="I45" i="16"/>
  <c r="J45" i="16" s="1"/>
  <c r="K45" i="16" s="1"/>
  <c r="I46" i="16"/>
  <c r="J46" i="16" s="1"/>
  <c r="K46" i="16" s="1"/>
  <c r="I44" i="16"/>
  <c r="J44" i="16" s="1"/>
  <c r="K44" i="16" s="1"/>
  <c r="J43" i="16"/>
  <c r="K43" i="16" s="1"/>
  <c r="J42" i="16"/>
  <c r="K42" i="16" s="1"/>
  <c r="K40" i="16"/>
  <c r="C240" i="17"/>
  <c r="G235" i="17"/>
  <c r="G237" i="17" s="1"/>
  <c r="G230" i="17"/>
  <c r="D230" i="17"/>
  <c r="C230" i="17"/>
  <c r="F229" i="17"/>
  <c r="F228" i="17"/>
  <c r="H227" i="17"/>
  <c r="H230" i="17" s="1"/>
  <c r="F227" i="17"/>
  <c r="F226" i="17"/>
  <c r="F230" i="17" s="1"/>
  <c r="F225" i="17"/>
  <c r="F224" i="17"/>
  <c r="F223" i="17"/>
  <c r="F222" i="17"/>
  <c r="F221" i="17"/>
  <c r="F220" i="17"/>
  <c r="K219" i="17"/>
  <c r="J219" i="17"/>
  <c r="H219" i="17"/>
  <c r="G219" i="17"/>
  <c r="D219" i="17"/>
  <c r="C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219" i="17" s="1"/>
  <c r="G199" i="17"/>
  <c r="D199" i="17"/>
  <c r="C199" i="17"/>
  <c r="F198" i="17"/>
  <c r="K197" i="17"/>
  <c r="K199" i="17" s="1"/>
  <c r="J197" i="17"/>
  <c r="J199" i="17" s="1"/>
  <c r="H197" i="17"/>
  <c r="H199" i="17" s="1"/>
  <c r="C196" i="17"/>
  <c r="F196" i="17" s="1"/>
  <c r="F199" i="17" s="1"/>
  <c r="J195" i="17"/>
  <c r="H195" i="17"/>
  <c r="G195" i="17"/>
  <c r="F195" i="17"/>
  <c r="D195" i="17"/>
  <c r="C195" i="17"/>
  <c r="J194" i="17"/>
  <c r="K194" i="17" s="1"/>
  <c r="K195" i="17" s="1"/>
  <c r="J193" i="17"/>
  <c r="G193" i="17"/>
  <c r="D193" i="17"/>
  <c r="C193" i="17"/>
  <c r="J186" i="17"/>
  <c r="F185" i="17"/>
  <c r="K184" i="17"/>
  <c r="J184" i="17"/>
  <c r="F184" i="17"/>
  <c r="F193" i="17" s="1"/>
  <c r="C184" i="17"/>
  <c r="H183" i="17"/>
  <c r="H193" i="17" s="1"/>
  <c r="J182" i="17"/>
  <c r="K182" i="17" s="1"/>
  <c r="K193" i="17" s="1"/>
  <c r="K180" i="17"/>
  <c r="J180" i="17"/>
  <c r="G180" i="17"/>
  <c r="F180" i="17"/>
  <c r="D180" i="17"/>
  <c r="C180" i="17"/>
  <c r="H179" i="17"/>
  <c r="H177" i="17"/>
  <c r="H176" i="17"/>
  <c r="H173" i="17"/>
  <c r="H180" i="17" s="1"/>
  <c r="K172" i="17"/>
  <c r="J172" i="17"/>
  <c r="H172" i="17"/>
  <c r="G172" i="17"/>
  <c r="F172" i="17"/>
  <c r="D172" i="17"/>
  <c r="C172" i="17"/>
  <c r="F171" i="17"/>
  <c r="K170" i="17"/>
  <c r="J170" i="17"/>
  <c r="H170" i="17"/>
  <c r="G170" i="17"/>
  <c r="F170" i="17"/>
  <c r="D170" i="17"/>
  <c r="C170" i="17"/>
  <c r="F169" i="17"/>
  <c r="F168" i="17"/>
  <c r="K167" i="17"/>
  <c r="J167" i="17"/>
  <c r="F167" i="17"/>
  <c r="D167" i="17"/>
  <c r="H166" i="17"/>
  <c r="H167" i="17" s="1"/>
  <c r="F166" i="17"/>
  <c r="G166" i="17" s="1"/>
  <c r="G167" i="17" s="1"/>
  <c r="C166" i="17"/>
  <c r="C167" i="17" s="1"/>
  <c r="C165" i="17"/>
  <c r="F164" i="17"/>
  <c r="H163" i="17"/>
  <c r="F163" i="17"/>
  <c r="J162" i="17"/>
  <c r="H162" i="17"/>
  <c r="F162" i="17"/>
  <c r="K162" i="17" s="1"/>
  <c r="H161" i="17"/>
  <c r="G161" i="17"/>
  <c r="J161" i="17" s="1"/>
  <c r="F161" i="17"/>
  <c r="H160" i="17"/>
  <c r="C160" i="17"/>
  <c r="F160" i="17" s="1"/>
  <c r="J159" i="17"/>
  <c r="F159" i="17"/>
  <c r="K159" i="17" s="1"/>
  <c r="J158" i="17"/>
  <c r="I158" i="17"/>
  <c r="H158" i="17"/>
  <c r="H165" i="17" s="1"/>
  <c r="D158" i="17"/>
  <c r="E158" i="17" s="1"/>
  <c r="D157" i="17"/>
  <c r="C157" i="17"/>
  <c r="J156" i="17"/>
  <c r="K156" i="17" s="1"/>
  <c r="H156" i="17"/>
  <c r="G156" i="17"/>
  <c r="G157" i="17" s="1"/>
  <c r="F156" i="17"/>
  <c r="E156" i="17"/>
  <c r="J155" i="17"/>
  <c r="K155" i="17" s="1"/>
  <c r="I155" i="17"/>
  <c r="H155" i="17"/>
  <c r="F155" i="17"/>
  <c r="E155" i="17"/>
  <c r="I154" i="17"/>
  <c r="H154" i="17"/>
  <c r="H157" i="17" s="1"/>
  <c r="E154" i="17"/>
  <c r="F154" i="17" s="1"/>
  <c r="F157" i="17" s="1"/>
  <c r="K153" i="17"/>
  <c r="J153" i="17"/>
  <c r="G153" i="17"/>
  <c r="F153" i="17"/>
  <c r="D153" i="17"/>
  <c r="C153" i="17"/>
  <c r="H152" i="17"/>
  <c r="H153" i="17" s="1"/>
  <c r="K151" i="17"/>
  <c r="J151" i="17"/>
  <c r="H151" i="17"/>
  <c r="G151" i="17"/>
  <c r="F151" i="17"/>
  <c r="D151" i="17"/>
  <c r="C151" i="17"/>
  <c r="G149" i="17"/>
  <c r="D149" i="17"/>
  <c r="F148" i="17"/>
  <c r="K148" i="17" s="1"/>
  <c r="C147" i="17"/>
  <c r="C146" i="17"/>
  <c r="H145" i="17"/>
  <c r="J145" i="17" s="1"/>
  <c r="K145" i="17" s="1"/>
  <c r="C144" i="17"/>
  <c r="F144" i="17" s="1"/>
  <c r="K142" i="17"/>
  <c r="J141" i="17"/>
  <c r="H141" i="17"/>
  <c r="F141" i="17"/>
  <c r="K141" i="17" s="1"/>
  <c r="F140" i="17"/>
  <c r="K140" i="17" s="1"/>
  <c r="J139" i="17"/>
  <c r="K139" i="17" s="1"/>
  <c r="H139" i="17"/>
  <c r="F139" i="17"/>
  <c r="F149" i="17" s="1"/>
  <c r="H138" i="17"/>
  <c r="H149" i="17" s="1"/>
  <c r="K137" i="17"/>
  <c r="H137" i="17"/>
  <c r="C137" i="17"/>
  <c r="H104" i="17"/>
  <c r="H95" i="17"/>
  <c r="H92" i="17"/>
  <c r="H91" i="17"/>
  <c r="H90" i="17"/>
  <c r="H89" i="17"/>
  <c r="H87" i="17"/>
  <c r="H84" i="17"/>
  <c r="H83" i="17"/>
  <c r="H82" i="17"/>
  <c r="G81" i="17"/>
  <c r="H80" i="17"/>
  <c r="H79" i="17"/>
  <c r="H78" i="17"/>
  <c r="H77" i="17"/>
  <c r="H75" i="17"/>
  <c r="G75" i="17"/>
  <c r="G137" i="17" s="1"/>
  <c r="H71" i="17"/>
  <c r="H70" i="17"/>
  <c r="H69" i="17"/>
  <c r="H68" i="17"/>
  <c r="D67" i="17"/>
  <c r="D64" i="17"/>
  <c r="D63" i="17"/>
  <c r="H58" i="17"/>
  <c r="D58" i="17"/>
  <c r="D56" i="17"/>
  <c r="D55" i="17"/>
  <c r="H53" i="17"/>
  <c r="D51" i="17"/>
  <c r="H50" i="17"/>
  <c r="H49" i="17"/>
  <c r="D49" i="17"/>
  <c r="F48" i="17"/>
  <c r="F137" i="17" s="1"/>
  <c r="J137" i="17" s="1"/>
  <c r="D46" i="17"/>
  <c r="D45" i="17"/>
  <c r="D44" i="17"/>
  <c r="D43" i="17"/>
  <c r="D42" i="17"/>
  <c r="H41" i="17"/>
  <c r="D41" i="17"/>
  <c r="I40" i="17"/>
  <c r="J40" i="17" s="1"/>
  <c r="D40" i="17"/>
  <c r="D137" i="17" s="1"/>
  <c r="K39" i="17"/>
  <c r="J39" i="17"/>
  <c r="I39" i="17"/>
  <c r="G38" i="17"/>
  <c r="F38" i="17"/>
  <c r="D38" i="17"/>
  <c r="J37" i="17"/>
  <c r="G37" i="17"/>
  <c r="K37" i="17" s="1"/>
  <c r="F36" i="17"/>
  <c r="J34" i="17"/>
  <c r="K34" i="17" s="1"/>
  <c r="I34" i="17"/>
  <c r="H34" i="17"/>
  <c r="F34" i="17"/>
  <c r="C34" i="17"/>
  <c r="F33" i="17"/>
  <c r="C33" i="17"/>
  <c r="C38" i="17" s="1"/>
  <c r="J32" i="17"/>
  <c r="K32" i="17" s="1"/>
  <c r="I32" i="17"/>
  <c r="H32" i="17"/>
  <c r="I31" i="17"/>
  <c r="H31" i="17"/>
  <c r="H38" i="17" s="1"/>
  <c r="E29" i="17"/>
  <c r="F29" i="17" s="1"/>
  <c r="E28" i="17"/>
  <c r="F28" i="17" s="1"/>
  <c r="E27" i="17"/>
  <c r="F27" i="17" s="1"/>
  <c r="H26" i="17"/>
  <c r="J26" i="17" s="1"/>
  <c r="F26" i="17"/>
  <c r="K26" i="17" s="1"/>
  <c r="D26" i="17"/>
  <c r="E26" i="17" s="1"/>
  <c r="C25" i="17"/>
  <c r="E25" i="17" s="1"/>
  <c r="F25" i="17" s="1"/>
  <c r="G24" i="17"/>
  <c r="J24" i="17" s="1"/>
  <c r="K24" i="17" s="1"/>
  <c r="E24" i="17"/>
  <c r="F24" i="17" s="1"/>
  <c r="C24" i="17"/>
  <c r="G23" i="17"/>
  <c r="K23" i="17" s="1"/>
  <c r="F23" i="17"/>
  <c r="E23" i="17"/>
  <c r="G22" i="17"/>
  <c r="F22" i="17"/>
  <c r="E22" i="17"/>
  <c r="G21" i="17"/>
  <c r="J21" i="17" s="1"/>
  <c r="D21" i="17"/>
  <c r="E21" i="17" s="1"/>
  <c r="C21" i="17"/>
  <c r="G20" i="17"/>
  <c r="J20" i="17" s="1"/>
  <c r="K20" i="17" s="1"/>
  <c r="E20" i="17"/>
  <c r="F20" i="17" s="1"/>
  <c r="J19" i="17"/>
  <c r="K19" i="17" s="1"/>
  <c r="H19" i="17"/>
  <c r="G19" i="17"/>
  <c r="C19" i="17"/>
  <c r="E19" i="17" s="1"/>
  <c r="F19" i="17" s="1"/>
  <c r="G18" i="17"/>
  <c r="J18" i="17" s="1"/>
  <c r="K18" i="17" s="1"/>
  <c r="E18" i="17"/>
  <c r="F18" i="17" s="1"/>
  <c r="C18" i="17"/>
  <c r="J17" i="17"/>
  <c r="C17" i="17"/>
  <c r="E17" i="17" s="1"/>
  <c r="J16" i="17"/>
  <c r="G16" i="17"/>
  <c r="C16" i="17"/>
  <c r="E16" i="17" s="1"/>
  <c r="F16" i="17" s="1"/>
  <c r="K16" i="17" s="1"/>
  <c r="J15" i="17"/>
  <c r="G15" i="17"/>
  <c r="C15" i="17"/>
  <c r="E15" i="17" s="1"/>
  <c r="F15" i="17" s="1"/>
  <c r="K15" i="17" s="1"/>
  <c r="H14" i="17"/>
  <c r="H30" i="17" s="1"/>
  <c r="G14" i="17"/>
  <c r="G30" i="17" s="1"/>
  <c r="E14" i="17"/>
  <c r="F14" i="17" s="1"/>
  <c r="D14" i="17"/>
  <c r="D13" i="17"/>
  <c r="C13" i="17"/>
  <c r="C30" i="17" s="1"/>
  <c r="C12" i="17"/>
  <c r="E12" i="17" s="1"/>
  <c r="F12" i="17" s="1"/>
  <c r="C11" i="17"/>
  <c r="E11" i="17" s="1"/>
  <c r="F11" i="17" s="1"/>
  <c r="J10" i="17"/>
  <c r="K10" i="17" s="1"/>
  <c r="D10" i="17"/>
  <c r="D30" i="17" s="1"/>
  <c r="C10" i="17"/>
  <c r="E10" i="17" s="1"/>
  <c r="I9" i="17"/>
  <c r="G9" i="17"/>
  <c r="E9" i="17"/>
  <c r="D9" i="17"/>
  <c r="C9" i="17"/>
  <c r="H8" i="17"/>
  <c r="H9" i="17" s="1"/>
  <c r="F8" i="17"/>
  <c r="F9" i="17" s="1"/>
  <c r="E8" i="17"/>
  <c r="K7" i="17"/>
  <c r="J7" i="17"/>
  <c r="G7" i="17"/>
  <c r="E7" i="17"/>
  <c r="J6" i="17"/>
  <c r="D6" i="17"/>
  <c r="C6" i="17"/>
  <c r="K5" i="17"/>
  <c r="I5" i="17"/>
  <c r="I6" i="17" s="1"/>
  <c r="G5" i="17"/>
  <c r="F5" i="17"/>
  <c r="E5" i="17"/>
  <c r="J4" i="17"/>
  <c r="I4" i="17"/>
  <c r="H4" i="17"/>
  <c r="H6" i="17" s="1"/>
  <c r="G4" i="17"/>
  <c r="G6" i="17" s="1"/>
  <c r="F4" i="17"/>
  <c r="F6" i="17" s="1"/>
  <c r="E4" i="17"/>
  <c r="E6" i="17" s="1"/>
  <c r="K134" i="16" l="1"/>
  <c r="K9" i="17"/>
  <c r="K158" i="17"/>
  <c r="K165" i="17" s="1"/>
  <c r="F158" i="17"/>
  <c r="F165" i="17" s="1"/>
  <c r="F10" i="17"/>
  <c r="E30" i="17"/>
  <c r="J165" i="17"/>
  <c r="K161" i="17"/>
  <c r="C231" i="17"/>
  <c r="D231" i="17"/>
  <c r="K30" i="17"/>
  <c r="K21" i="17"/>
  <c r="J30" i="17"/>
  <c r="J8" i="17"/>
  <c r="J9" i="17" s="1"/>
  <c r="C149" i="17"/>
  <c r="K8" i="17"/>
  <c r="K14" i="17"/>
  <c r="J227" i="17"/>
  <c r="J230" i="17" s="1"/>
  <c r="K4" i="17"/>
  <c r="K6" i="17" s="1"/>
  <c r="K17" i="17"/>
  <c r="J31" i="17"/>
  <c r="J138" i="17"/>
  <c r="J154" i="17"/>
  <c r="D165" i="17"/>
  <c r="G159" i="17"/>
  <c r="G165" i="17" s="1"/>
  <c r="F17" i="17"/>
  <c r="E13" i="17"/>
  <c r="F13" i="17" s="1"/>
  <c r="E166" i="17"/>
  <c r="I14" i="17"/>
  <c r="F21" i="17"/>
  <c r="I158" i="16"/>
  <c r="I155" i="16"/>
  <c r="F155" i="16"/>
  <c r="E155" i="16"/>
  <c r="E156" i="16"/>
  <c r="E154" i="16"/>
  <c r="F154" i="16" s="1"/>
  <c r="I154" i="16"/>
  <c r="I157" i="16" s="1"/>
  <c r="J154" i="16"/>
  <c r="F156" i="16"/>
  <c r="G156" i="16" s="1"/>
  <c r="G157" i="16" s="1"/>
  <c r="J40" i="16"/>
  <c r="I40" i="16"/>
  <c r="I39" i="16"/>
  <c r="K39" i="16"/>
  <c r="I34" i="16"/>
  <c r="I32" i="16"/>
  <c r="I31" i="16"/>
  <c r="I38" i="16" s="1"/>
  <c r="D26" i="16"/>
  <c r="E26" i="16" s="1"/>
  <c r="D21" i="16"/>
  <c r="E20" i="16"/>
  <c r="F20" i="16" s="1"/>
  <c r="D14" i="16"/>
  <c r="E14" i="16" s="1"/>
  <c r="F14" i="16" s="1"/>
  <c r="C13" i="16"/>
  <c r="E27" i="16"/>
  <c r="F27" i="16" s="1"/>
  <c r="E28" i="16"/>
  <c r="F28" i="16" s="1"/>
  <c r="E29" i="16"/>
  <c r="F29" i="16" s="1"/>
  <c r="E23" i="16"/>
  <c r="E22" i="16"/>
  <c r="C25" i="16"/>
  <c r="E25" i="16" s="1"/>
  <c r="F25" i="16" s="1"/>
  <c r="C12" i="16"/>
  <c r="E12" i="16" s="1"/>
  <c r="F12" i="16" s="1"/>
  <c r="E7" i="16"/>
  <c r="E8" i="16"/>
  <c r="E5" i="16"/>
  <c r="E4" i="16"/>
  <c r="F4" i="16" s="1"/>
  <c r="K4" i="16" s="1"/>
  <c r="C11" i="16"/>
  <c r="E11" i="16" s="1"/>
  <c r="F11" i="16" s="1"/>
  <c r="I9" i="16"/>
  <c r="J10" i="16"/>
  <c r="D10" i="16"/>
  <c r="J7" i="16"/>
  <c r="I5" i="16"/>
  <c r="I4" i="16"/>
  <c r="C240" i="16"/>
  <c r="C242" i="16"/>
  <c r="D242" i="16" s="1"/>
  <c r="G230" i="16"/>
  <c r="D230" i="16"/>
  <c r="C230" i="16"/>
  <c r="F229" i="16"/>
  <c r="F228" i="16"/>
  <c r="H227" i="16"/>
  <c r="J227" i="16" s="1"/>
  <c r="J230" i="16" s="1"/>
  <c r="F227" i="16"/>
  <c r="F226" i="16"/>
  <c r="F225" i="16"/>
  <c r="F224" i="16"/>
  <c r="F223" i="16"/>
  <c r="F222" i="16"/>
  <c r="F221" i="16"/>
  <c r="F220" i="16"/>
  <c r="K219" i="16"/>
  <c r="J219" i="16"/>
  <c r="H219" i="16"/>
  <c r="G219" i="16"/>
  <c r="D219" i="16"/>
  <c r="C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G199" i="16"/>
  <c r="D199" i="16"/>
  <c r="F198" i="16"/>
  <c r="H197" i="16"/>
  <c r="J197" i="16" s="1"/>
  <c r="C196" i="16"/>
  <c r="C199" i="16" s="1"/>
  <c r="H195" i="16"/>
  <c r="G195" i="16"/>
  <c r="F195" i="16"/>
  <c r="D195" i="16"/>
  <c r="C195" i="16"/>
  <c r="J194" i="16"/>
  <c r="J195" i="16" s="1"/>
  <c r="G193" i="16"/>
  <c r="D193" i="16"/>
  <c r="J186" i="16"/>
  <c r="K186" i="16" s="1"/>
  <c r="F185" i="16"/>
  <c r="J184" i="16"/>
  <c r="C184" i="16"/>
  <c r="F184" i="16" s="1"/>
  <c r="H183" i="16"/>
  <c r="J182" i="16"/>
  <c r="K182" i="16" s="1"/>
  <c r="K180" i="16"/>
  <c r="J180" i="16"/>
  <c r="G180" i="16"/>
  <c r="F180" i="16"/>
  <c r="D180" i="16"/>
  <c r="C180" i="16"/>
  <c r="H179" i="16"/>
  <c r="H177" i="16"/>
  <c r="H176" i="16"/>
  <c r="H173" i="16"/>
  <c r="H180" i="16" s="1"/>
  <c r="K172" i="16"/>
  <c r="J172" i="16"/>
  <c r="H172" i="16"/>
  <c r="G172" i="16"/>
  <c r="D172" i="16"/>
  <c r="C172" i="16"/>
  <c r="F171" i="16"/>
  <c r="F172" i="16" s="1"/>
  <c r="K170" i="16"/>
  <c r="J170" i="16"/>
  <c r="H170" i="16"/>
  <c r="G170" i="16"/>
  <c r="D170" i="16"/>
  <c r="C170" i="16"/>
  <c r="F169" i="16"/>
  <c r="K169" i="16" s="1"/>
  <c r="F168" i="16"/>
  <c r="D167" i="16"/>
  <c r="H166" i="16"/>
  <c r="G166" i="16"/>
  <c r="G167" i="16" s="1"/>
  <c r="F166" i="16"/>
  <c r="F167" i="16" s="1"/>
  <c r="C166" i="16"/>
  <c r="C167" i="16" s="1"/>
  <c r="F164" i="16"/>
  <c r="H163" i="16"/>
  <c r="J163" i="16" s="1"/>
  <c r="F163" i="16"/>
  <c r="H162" i="16"/>
  <c r="F162" i="16"/>
  <c r="I162" i="16" s="1"/>
  <c r="H161" i="16"/>
  <c r="G161" i="16"/>
  <c r="J161" i="16" s="1"/>
  <c r="F161" i="16"/>
  <c r="H160" i="16"/>
  <c r="C160" i="16"/>
  <c r="F160" i="16" s="1"/>
  <c r="F159" i="16"/>
  <c r="G159" i="16" s="1"/>
  <c r="H158" i="16"/>
  <c r="D158" i="16"/>
  <c r="E158" i="16" s="1"/>
  <c r="C157" i="16"/>
  <c r="H156" i="16"/>
  <c r="J155" i="16"/>
  <c r="K155" i="16" s="1"/>
  <c r="H155" i="16"/>
  <c r="H154" i="16"/>
  <c r="K153" i="16"/>
  <c r="J153" i="16"/>
  <c r="G153" i="16"/>
  <c r="F153" i="16"/>
  <c r="D153" i="16"/>
  <c r="C153" i="16"/>
  <c r="H152" i="16"/>
  <c r="H153" i="16" s="1"/>
  <c r="K151" i="16"/>
  <c r="J151" i="16"/>
  <c r="H151" i="16"/>
  <c r="G151" i="16"/>
  <c r="F151" i="16"/>
  <c r="D151" i="16"/>
  <c r="C151" i="16"/>
  <c r="G149" i="16"/>
  <c r="D149" i="16"/>
  <c r="F148" i="16"/>
  <c r="K148" i="16" s="1"/>
  <c r="C147" i="16"/>
  <c r="C146" i="16"/>
  <c r="H145" i="16"/>
  <c r="J145" i="16" s="1"/>
  <c r="K145" i="16" s="1"/>
  <c r="C144" i="16"/>
  <c r="F144" i="16" s="1"/>
  <c r="K142" i="16"/>
  <c r="H141" i="16"/>
  <c r="F141" i="16"/>
  <c r="F140" i="16"/>
  <c r="K140" i="16" s="1"/>
  <c r="H139" i="16"/>
  <c r="J139" i="16" s="1"/>
  <c r="F139" i="16"/>
  <c r="H138" i="16"/>
  <c r="J138" i="16" s="1"/>
  <c r="C137" i="16"/>
  <c r="H104" i="16"/>
  <c r="J104" i="16" s="1"/>
  <c r="K104" i="16" s="1"/>
  <c r="H95" i="16"/>
  <c r="H92" i="16"/>
  <c r="I92" i="16" s="1"/>
  <c r="J92" i="16" s="1"/>
  <c r="K92" i="16" s="1"/>
  <c r="H91" i="16"/>
  <c r="H90" i="16"/>
  <c r="J90" i="16" s="1"/>
  <c r="K90" i="16" s="1"/>
  <c r="H89" i="16"/>
  <c r="H87" i="16"/>
  <c r="J87" i="16" s="1"/>
  <c r="K87" i="16" s="1"/>
  <c r="H84" i="16"/>
  <c r="H83" i="16"/>
  <c r="H82" i="16"/>
  <c r="G81" i="16"/>
  <c r="H80" i="16"/>
  <c r="H79" i="16"/>
  <c r="H78" i="16"/>
  <c r="J78" i="16" s="1"/>
  <c r="K78" i="16" s="1"/>
  <c r="H77" i="16"/>
  <c r="H75" i="16"/>
  <c r="G75" i="16"/>
  <c r="G137" i="16" s="1"/>
  <c r="H71" i="16"/>
  <c r="H70" i="16"/>
  <c r="H69" i="16"/>
  <c r="I69" i="16" s="1"/>
  <c r="H68" i="16"/>
  <c r="I68" i="16" s="1"/>
  <c r="J68" i="16" s="1"/>
  <c r="K68" i="16" s="1"/>
  <c r="D67" i="16"/>
  <c r="D64" i="16"/>
  <c r="D63" i="16"/>
  <c r="H58" i="16"/>
  <c r="I58" i="16" s="1"/>
  <c r="J58" i="16" s="1"/>
  <c r="K58" i="16" s="1"/>
  <c r="D58" i="16"/>
  <c r="D56" i="16"/>
  <c r="D55" i="16"/>
  <c r="H53" i="16"/>
  <c r="J53" i="16" s="1"/>
  <c r="K53" i="16" s="1"/>
  <c r="D51" i="16"/>
  <c r="H50" i="16"/>
  <c r="I50" i="16" s="1"/>
  <c r="J50" i="16" s="1"/>
  <c r="K50" i="16" s="1"/>
  <c r="H49" i="16"/>
  <c r="I49" i="16" s="1"/>
  <c r="J49" i="16" s="1"/>
  <c r="K49" i="16" s="1"/>
  <c r="D49" i="16"/>
  <c r="F48" i="16"/>
  <c r="F137" i="16" s="1"/>
  <c r="D46" i="16"/>
  <c r="D45" i="16"/>
  <c r="D44" i="16"/>
  <c r="D43" i="16"/>
  <c r="D42" i="16"/>
  <c r="H41" i="16"/>
  <c r="D41" i="16"/>
  <c r="D40" i="16"/>
  <c r="D38" i="16"/>
  <c r="J37" i="16"/>
  <c r="G37" i="16"/>
  <c r="F36" i="16"/>
  <c r="H34" i="16"/>
  <c r="J34" i="16" s="1"/>
  <c r="F34" i="16"/>
  <c r="C34" i="16"/>
  <c r="F33" i="16"/>
  <c r="C33" i="16"/>
  <c r="H32" i="16"/>
  <c r="H31" i="16"/>
  <c r="H26" i="16"/>
  <c r="J26" i="16" s="1"/>
  <c r="F26" i="16"/>
  <c r="G24" i="16"/>
  <c r="J24" i="16" s="1"/>
  <c r="I24" i="16" s="1"/>
  <c r="C24" i="16"/>
  <c r="G23" i="16"/>
  <c r="F23" i="16"/>
  <c r="F22" i="16"/>
  <c r="G22" i="16" s="1"/>
  <c r="G21" i="16"/>
  <c r="J21" i="16" s="1"/>
  <c r="C21" i="16"/>
  <c r="K21" i="16" s="1"/>
  <c r="J20" i="16"/>
  <c r="K20" i="16" s="1"/>
  <c r="G20" i="16"/>
  <c r="H19" i="16"/>
  <c r="G19" i="16"/>
  <c r="J19" i="16" s="1"/>
  <c r="C19" i="16"/>
  <c r="E19" i="16" s="1"/>
  <c r="F19" i="16" s="1"/>
  <c r="G18" i="16"/>
  <c r="J18" i="16" s="1"/>
  <c r="C18" i="16"/>
  <c r="E18" i="16" s="1"/>
  <c r="F18" i="16" s="1"/>
  <c r="J17" i="16"/>
  <c r="K17" i="16" s="1"/>
  <c r="F17" i="16"/>
  <c r="C17" i="16"/>
  <c r="E17" i="16" s="1"/>
  <c r="G16" i="16"/>
  <c r="J16" i="16" s="1"/>
  <c r="C16" i="16"/>
  <c r="E16" i="16" s="1"/>
  <c r="F16" i="16" s="1"/>
  <c r="G15" i="16"/>
  <c r="J15" i="16" s="1"/>
  <c r="I15" i="16" s="1"/>
  <c r="C15" i="16"/>
  <c r="E15" i="16" s="1"/>
  <c r="F15" i="16" s="1"/>
  <c r="H14" i="16"/>
  <c r="G14" i="16"/>
  <c r="C10" i="16"/>
  <c r="E10" i="16" s="1"/>
  <c r="D9" i="16"/>
  <c r="C9" i="16"/>
  <c r="H8" i="16"/>
  <c r="H9" i="16" s="1"/>
  <c r="F8" i="16"/>
  <c r="G7" i="16"/>
  <c r="G9" i="16" s="1"/>
  <c r="D6" i="16"/>
  <c r="E242" i="16" s="1"/>
  <c r="C6" i="16"/>
  <c r="K5" i="16"/>
  <c r="J4" i="16"/>
  <c r="H4" i="16"/>
  <c r="H6" i="16" s="1"/>
  <c r="G6" i="16"/>
  <c r="J31" i="16" l="1"/>
  <c r="K31" i="16" s="1"/>
  <c r="J162" i="16"/>
  <c r="J32" i="16"/>
  <c r="K32" i="16" s="1"/>
  <c r="I80" i="16"/>
  <c r="J80" i="16" s="1"/>
  <c r="K80" i="16" s="1"/>
  <c r="I91" i="16"/>
  <c r="J91" i="16" s="1"/>
  <c r="K91" i="16" s="1"/>
  <c r="E9" i="16"/>
  <c r="I70" i="16"/>
  <c r="J70" i="16" s="1"/>
  <c r="K70" i="16" s="1"/>
  <c r="I160" i="16"/>
  <c r="J160" i="16" s="1"/>
  <c r="K160" i="16" s="1"/>
  <c r="K163" i="16"/>
  <c r="K23" i="16"/>
  <c r="J23" i="16"/>
  <c r="I71" i="16"/>
  <c r="J71" i="16"/>
  <c r="K71" i="16" s="1"/>
  <c r="I82" i="16"/>
  <c r="J82" i="16" s="1"/>
  <c r="K82" i="16" s="1"/>
  <c r="I95" i="16"/>
  <c r="J95" i="16" s="1"/>
  <c r="K95" i="16" s="1"/>
  <c r="G164" i="16"/>
  <c r="I164" i="16"/>
  <c r="J164" i="16" s="1"/>
  <c r="K164" i="16" s="1"/>
  <c r="H193" i="16"/>
  <c r="I183" i="16"/>
  <c r="J183" i="16" s="1"/>
  <c r="J39" i="16"/>
  <c r="I83" i="16"/>
  <c r="J83" i="16" s="1"/>
  <c r="K83" i="16" s="1"/>
  <c r="I89" i="16"/>
  <c r="J89" i="16" s="1"/>
  <c r="K89" i="16" s="1"/>
  <c r="I79" i="16"/>
  <c r="J79" i="16"/>
  <c r="K79" i="16" s="1"/>
  <c r="I22" i="16"/>
  <c r="J22" i="16"/>
  <c r="K22" i="16" s="1"/>
  <c r="K34" i="16"/>
  <c r="I75" i="16"/>
  <c r="J75" i="16" s="1"/>
  <c r="K75" i="16" s="1"/>
  <c r="I84" i="16"/>
  <c r="J84" i="16" s="1"/>
  <c r="K84" i="16" s="1"/>
  <c r="J156" i="16"/>
  <c r="K156" i="16" s="1"/>
  <c r="I161" i="16"/>
  <c r="K26" i="16"/>
  <c r="I77" i="16"/>
  <c r="J77" i="16" s="1"/>
  <c r="K77" i="16" s="1"/>
  <c r="F242" i="16"/>
  <c r="E6" i="16"/>
  <c r="H167" i="16"/>
  <c r="I166" i="16"/>
  <c r="J166" i="16" s="1"/>
  <c r="F158" i="16"/>
  <c r="K10" i="16"/>
  <c r="K41" i="16"/>
  <c r="J41" i="16"/>
  <c r="F38" i="16"/>
  <c r="G165" i="16"/>
  <c r="E166" i="16"/>
  <c r="I6" i="16"/>
  <c r="H30" i="16"/>
  <c r="D165" i="16"/>
  <c r="F170" i="16"/>
  <c r="C30" i="16"/>
  <c r="C149" i="16"/>
  <c r="J157" i="17"/>
  <c r="K154" i="17"/>
  <c r="K157" i="17" s="1"/>
  <c r="J149" i="17"/>
  <c r="K138" i="17"/>
  <c r="K149" i="17" s="1"/>
  <c r="K31" i="17"/>
  <c r="K38" i="17" s="1"/>
  <c r="J38" i="17"/>
  <c r="K227" i="17"/>
  <c r="K230" i="17" s="1"/>
  <c r="F30" i="17"/>
  <c r="F231" i="17" s="1"/>
  <c r="D137" i="16"/>
  <c r="H149" i="16"/>
  <c r="D30" i="16"/>
  <c r="H38" i="16"/>
  <c r="K6" i="16"/>
  <c r="E13" i="16"/>
  <c r="F13" i="16" s="1"/>
  <c r="H137" i="16"/>
  <c r="C38" i="16"/>
  <c r="H165" i="16"/>
  <c r="K194" i="16"/>
  <c r="K195" i="16" s="1"/>
  <c r="K15" i="16"/>
  <c r="K8" i="16"/>
  <c r="H230" i="16"/>
  <c r="K7" i="16"/>
  <c r="K9" i="16" s="1"/>
  <c r="G30" i="16"/>
  <c r="F219" i="16"/>
  <c r="K24" i="16"/>
  <c r="K37" i="16"/>
  <c r="K161" i="16"/>
  <c r="K227" i="16"/>
  <c r="K230" i="16" s="1"/>
  <c r="E21" i="16"/>
  <c r="E30" i="16" s="1"/>
  <c r="F230" i="16"/>
  <c r="H157" i="16"/>
  <c r="K162" i="16"/>
  <c r="C244" i="16"/>
  <c r="J8" i="16"/>
  <c r="J9" i="16" s="1"/>
  <c r="E24" i="16"/>
  <c r="F24" i="16" s="1"/>
  <c r="F9" i="16"/>
  <c r="G38" i="16"/>
  <c r="K159" i="16"/>
  <c r="K19" i="16"/>
  <c r="J38" i="16"/>
  <c r="F21" i="16"/>
  <c r="K197" i="16"/>
  <c r="K199" i="16" s="1"/>
  <c r="J199" i="16"/>
  <c r="K138" i="16"/>
  <c r="K16" i="16"/>
  <c r="K139" i="16"/>
  <c r="K184" i="16"/>
  <c r="F193" i="16"/>
  <c r="J30" i="16"/>
  <c r="K18" i="16"/>
  <c r="H199" i="16"/>
  <c r="J6" i="16"/>
  <c r="J141" i="16"/>
  <c r="K141" i="16" s="1"/>
  <c r="F165" i="16"/>
  <c r="F6" i="16"/>
  <c r="C193" i="16"/>
  <c r="F149" i="16"/>
  <c r="C165" i="16"/>
  <c r="F196" i="16"/>
  <c r="F199" i="16" s="1"/>
  <c r="J158" i="16"/>
  <c r="K158" i="16" s="1"/>
  <c r="D155" i="15"/>
  <c r="E33" i="15"/>
  <c r="K183" i="16" l="1"/>
  <c r="J193" i="16"/>
  <c r="I137" i="16"/>
  <c r="J137" i="16"/>
  <c r="K137" i="16"/>
  <c r="K193" i="16"/>
  <c r="J165" i="16"/>
  <c r="K166" i="16"/>
  <c r="K167" i="16" s="1"/>
  <c r="J167" i="16"/>
  <c r="K30" i="16"/>
  <c r="K165" i="16"/>
  <c r="F30" i="16"/>
  <c r="K149" i="16"/>
  <c r="K38" i="16"/>
  <c r="J149" i="16"/>
  <c r="C231" i="16"/>
  <c r="F234" i="15"/>
  <c r="E226" i="15"/>
  <c r="G224" i="15"/>
  <c r="H224" i="15" s="1"/>
  <c r="E155" i="15"/>
  <c r="F232" i="15"/>
  <c r="C237" i="15"/>
  <c r="E222" i="15"/>
  <c r="E221" i="15"/>
  <c r="E220" i="15"/>
  <c r="E219" i="15"/>
  <c r="E218" i="15"/>
  <c r="E217" i="15"/>
  <c r="I191" i="15"/>
  <c r="H191" i="15"/>
  <c r="H183" i="15"/>
  <c r="H181" i="15"/>
  <c r="H179" i="15"/>
  <c r="I179" i="15" s="1"/>
  <c r="E159" i="15"/>
  <c r="E158" i="15"/>
  <c r="H156" i="15"/>
  <c r="H152" i="15"/>
  <c r="I152" i="15" s="1"/>
  <c r="I139" i="15"/>
  <c r="H34" i="15"/>
  <c r="H31" i="15"/>
  <c r="H29" i="15"/>
  <c r="I29" i="15" s="1"/>
  <c r="H28" i="15"/>
  <c r="I28" i="15" s="1"/>
  <c r="H4" i="15"/>
  <c r="H17" i="15"/>
  <c r="I7" i="15"/>
  <c r="G4" i="15"/>
  <c r="G163" i="15" l="1"/>
  <c r="G159" i="15"/>
  <c r="H159" i="15" s="1"/>
  <c r="I159" i="15" s="1"/>
  <c r="G160" i="15"/>
  <c r="E160" i="15"/>
  <c r="C134" i="15" l="1"/>
  <c r="E195" i="15"/>
  <c r="D153" i="15"/>
  <c r="D151" i="15"/>
  <c r="H151" i="15" s="1"/>
  <c r="I151" i="15" s="1"/>
  <c r="F146" i="15"/>
  <c r="D146" i="15"/>
  <c r="E138" i="15"/>
  <c r="E137" i="15"/>
  <c r="I137" i="15" s="1"/>
  <c r="E136" i="15"/>
  <c r="E45" i="15"/>
  <c r="E134" i="15" s="1"/>
  <c r="H134" i="15" s="1"/>
  <c r="E21" i="15"/>
  <c r="D169" i="15"/>
  <c r="F169" i="15"/>
  <c r="G169" i="15"/>
  <c r="H169" i="15"/>
  <c r="I169" i="15"/>
  <c r="C169" i="15"/>
  <c r="D167" i="15"/>
  <c r="F167" i="15"/>
  <c r="G167" i="15"/>
  <c r="H167" i="15"/>
  <c r="I167" i="15"/>
  <c r="C167" i="15"/>
  <c r="D164" i="15"/>
  <c r="H164" i="15"/>
  <c r="I164" i="15"/>
  <c r="D150" i="15"/>
  <c r="E150" i="15"/>
  <c r="F150" i="15"/>
  <c r="H150" i="15"/>
  <c r="I150" i="15"/>
  <c r="C150" i="15"/>
  <c r="D148" i="15"/>
  <c r="E148" i="15"/>
  <c r="F148" i="15"/>
  <c r="G148" i="15"/>
  <c r="H148" i="15"/>
  <c r="I148" i="15"/>
  <c r="C148" i="15"/>
  <c r="C193" i="15" l="1"/>
  <c r="E193" i="15" s="1"/>
  <c r="E196" i="15" s="1"/>
  <c r="E145" i="15"/>
  <c r="I145" i="15" s="1"/>
  <c r="G155" i="15"/>
  <c r="H155" i="15" s="1"/>
  <c r="I155" i="15" s="1"/>
  <c r="G153" i="15"/>
  <c r="H153" i="15" s="1"/>
  <c r="I153" i="15" s="1"/>
  <c r="G152" i="15"/>
  <c r="G151" i="15"/>
  <c r="G14" i="15"/>
  <c r="C6" i="15"/>
  <c r="D6" i="15"/>
  <c r="D26" i="15"/>
  <c r="E26" i="15" s="1"/>
  <c r="G26" i="15"/>
  <c r="H26" i="15" s="1"/>
  <c r="G101" i="15"/>
  <c r="G92" i="15"/>
  <c r="G84" i="15"/>
  <c r="G81" i="15"/>
  <c r="G80" i="15"/>
  <c r="G77" i="15"/>
  <c r="G76" i="15"/>
  <c r="G74" i="15"/>
  <c r="G47" i="15"/>
  <c r="G46" i="15"/>
  <c r="G38" i="15"/>
  <c r="D48" i="15"/>
  <c r="D52" i="15"/>
  <c r="D53" i="15"/>
  <c r="D55" i="15"/>
  <c r="D60" i="15"/>
  <c r="D61" i="15"/>
  <c r="D64" i="15"/>
  <c r="D46" i="15"/>
  <c r="D40" i="15"/>
  <c r="D41" i="15"/>
  <c r="D42" i="15"/>
  <c r="D43" i="15"/>
  <c r="D39" i="15"/>
  <c r="D38" i="15"/>
  <c r="D37" i="15"/>
  <c r="D35" i="15"/>
  <c r="D14" i="15"/>
  <c r="G8" i="15"/>
  <c r="C9" i="15"/>
  <c r="D9" i="15"/>
  <c r="E8" i="15"/>
  <c r="F227" i="15"/>
  <c r="G227" i="15"/>
  <c r="H227" i="15"/>
  <c r="E223" i="15"/>
  <c r="E224" i="15"/>
  <c r="I224" i="15" s="1"/>
  <c r="I227" i="15" s="1"/>
  <c r="E225" i="15"/>
  <c r="D227" i="15"/>
  <c r="C227" i="15"/>
  <c r="F216" i="15"/>
  <c r="G216" i="15"/>
  <c r="H216" i="15"/>
  <c r="I216" i="15"/>
  <c r="E214" i="15"/>
  <c r="E215" i="15"/>
  <c r="E213" i="15"/>
  <c r="E211" i="15"/>
  <c r="E212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D192" i="15"/>
  <c r="E192" i="15"/>
  <c r="F192" i="15"/>
  <c r="G192" i="15"/>
  <c r="H192" i="15"/>
  <c r="I192" i="15"/>
  <c r="C192" i="15"/>
  <c r="D196" i="15"/>
  <c r="F196" i="15"/>
  <c r="D216" i="15"/>
  <c r="C216" i="15"/>
  <c r="G194" i="15"/>
  <c r="D190" i="15"/>
  <c r="F190" i="15"/>
  <c r="H190" i="15"/>
  <c r="E182" i="15"/>
  <c r="C181" i="15"/>
  <c r="E181" i="15" s="1"/>
  <c r="I181" i="15" s="1"/>
  <c r="I190" i="15" s="1"/>
  <c r="I177" i="15"/>
  <c r="H177" i="15"/>
  <c r="F177" i="15"/>
  <c r="E177" i="15"/>
  <c r="D177" i="15"/>
  <c r="C177" i="15"/>
  <c r="G173" i="15"/>
  <c r="G176" i="15"/>
  <c r="G174" i="15"/>
  <c r="G170" i="15"/>
  <c r="E168" i="15"/>
  <c r="E169" i="15" s="1"/>
  <c r="E166" i="15"/>
  <c r="E165" i="15"/>
  <c r="G164" i="15"/>
  <c r="C163" i="15"/>
  <c r="C164" i="15" s="1"/>
  <c r="E163" i="15"/>
  <c r="E161" i="15"/>
  <c r="D162" i="15"/>
  <c r="G158" i="15"/>
  <c r="F158" i="15"/>
  <c r="H158" i="15" s="1"/>
  <c r="I158" i="15" s="1"/>
  <c r="G157" i="15"/>
  <c r="C157" i="15"/>
  <c r="E157" i="15" s="1"/>
  <c r="E156" i="15"/>
  <c r="C141" i="15"/>
  <c r="E141" i="15" s="1"/>
  <c r="E146" i="15" s="1"/>
  <c r="C144" i="15"/>
  <c r="C143" i="15"/>
  <c r="C154" i="15"/>
  <c r="F34" i="15"/>
  <c r="C31" i="15"/>
  <c r="C30" i="15"/>
  <c r="E30" i="15"/>
  <c r="E31" i="15"/>
  <c r="I31" i="15" s="1"/>
  <c r="G31" i="15"/>
  <c r="C25" i="15"/>
  <c r="C24" i="15"/>
  <c r="C21" i="15"/>
  <c r="C20" i="15"/>
  <c r="C13" i="15"/>
  <c r="I13" i="15" s="1"/>
  <c r="E13" i="15"/>
  <c r="C19" i="15"/>
  <c r="C18" i="15"/>
  <c r="C17" i="15"/>
  <c r="C16" i="15"/>
  <c r="C15" i="15"/>
  <c r="C12" i="15"/>
  <c r="C11" i="15"/>
  <c r="C10" i="15"/>
  <c r="F23" i="15"/>
  <c r="F24" i="15"/>
  <c r="H24" i="15" s="1"/>
  <c r="E25" i="15"/>
  <c r="E24" i="15"/>
  <c r="E23" i="15"/>
  <c r="E22" i="15"/>
  <c r="F20" i="15"/>
  <c r="H20" i="15" s="1"/>
  <c r="E20" i="15"/>
  <c r="F19" i="15"/>
  <c r="H19" i="15" s="1"/>
  <c r="E19" i="15"/>
  <c r="F18" i="15"/>
  <c r="H18" i="15" s="1"/>
  <c r="E18" i="15"/>
  <c r="F16" i="15"/>
  <c r="H16" i="15" s="1"/>
  <c r="E16" i="15"/>
  <c r="F15" i="15"/>
  <c r="H15" i="15" s="1"/>
  <c r="F21" i="15"/>
  <c r="H21" i="15" s="1"/>
  <c r="E15" i="15"/>
  <c r="I15" i="15" s="1"/>
  <c r="F14" i="15"/>
  <c r="H14" i="15" s="1"/>
  <c r="E14" i="15"/>
  <c r="E12" i="15"/>
  <c r="I12" i="15" s="1"/>
  <c r="E11" i="15"/>
  <c r="I11" i="15" s="1"/>
  <c r="F10" i="15"/>
  <c r="E10" i="15"/>
  <c r="I10" i="15" s="1"/>
  <c r="I24" i="15" l="1"/>
  <c r="I14" i="15"/>
  <c r="C146" i="15"/>
  <c r="I26" i="15"/>
  <c r="C196" i="15"/>
  <c r="H194" i="15"/>
  <c r="I194" i="15" s="1"/>
  <c r="I196" i="15" s="1"/>
  <c r="I16" i="15"/>
  <c r="E167" i="15"/>
  <c r="D27" i="15"/>
  <c r="F156" i="15"/>
  <c r="F162" i="15" s="1"/>
  <c r="I156" i="15"/>
  <c r="I21" i="15"/>
  <c r="I8" i="15"/>
  <c r="E17" i="15"/>
  <c r="I17" i="15"/>
  <c r="I18" i="15"/>
  <c r="H23" i="15"/>
  <c r="H27" i="15" s="1"/>
  <c r="I23" i="15"/>
  <c r="I19" i="15"/>
  <c r="I20" i="15"/>
  <c r="F35" i="15"/>
  <c r="I34" i="15"/>
  <c r="I35" i="15" s="1"/>
  <c r="F27" i="15"/>
  <c r="C27" i="15"/>
  <c r="F163" i="15"/>
  <c r="F164" i="15" s="1"/>
  <c r="E164" i="15"/>
  <c r="E27" i="15"/>
  <c r="D134" i="15"/>
  <c r="H9" i="15"/>
  <c r="G9" i="15"/>
  <c r="E227" i="15"/>
  <c r="E216" i="15"/>
  <c r="E190" i="15"/>
  <c r="C162" i="15"/>
  <c r="C190" i="15"/>
  <c r="G196" i="15"/>
  <c r="H162" i="15"/>
  <c r="G177" i="15"/>
  <c r="E162" i="15"/>
  <c r="G154" i="15"/>
  <c r="H154" i="15"/>
  <c r="I154" i="15"/>
  <c r="E35" i="15"/>
  <c r="C35" i="15"/>
  <c r="C228" i="15" s="1"/>
  <c r="H35" i="15"/>
  <c r="E9" i="15"/>
  <c r="H6" i="15"/>
  <c r="G6" i="15"/>
  <c r="D20" i="14"/>
  <c r="L22" i="14" s="1"/>
  <c r="D19" i="14"/>
  <c r="C19" i="14"/>
  <c r="C21" i="14" s="1"/>
  <c r="F58" i="13"/>
  <c r="E58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45" i="13"/>
  <c r="L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44" i="13"/>
  <c r="D57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44" i="13"/>
  <c r="L42" i="13"/>
  <c r="L43" i="13"/>
  <c r="L41" i="13"/>
  <c r="F42" i="13"/>
  <c r="F43" i="13"/>
  <c r="F41" i="13"/>
  <c r="D42" i="13"/>
  <c r="D43" i="13"/>
  <c r="D41" i="13"/>
  <c r="L33" i="13"/>
  <c r="L34" i="13"/>
  <c r="L35" i="13"/>
  <c r="L36" i="13"/>
  <c r="L37" i="13"/>
  <c r="L38" i="13"/>
  <c r="L39" i="13"/>
  <c r="L40" i="13"/>
  <c r="L32" i="13"/>
  <c r="F33" i="13"/>
  <c r="F34" i="13"/>
  <c r="F35" i="13"/>
  <c r="F36" i="13"/>
  <c r="F37" i="13"/>
  <c r="F38" i="13"/>
  <c r="F39" i="13"/>
  <c r="F40" i="13"/>
  <c r="F32" i="13"/>
  <c r="D33" i="13"/>
  <c r="D34" i="13"/>
  <c r="D35" i="13"/>
  <c r="D36" i="13"/>
  <c r="D37" i="13"/>
  <c r="D38" i="13"/>
  <c r="D39" i="13"/>
  <c r="D40" i="13"/>
  <c r="D32" i="13"/>
  <c r="F30" i="13"/>
  <c r="F31" i="13"/>
  <c r="F29" i="13"/>
  <c r="D30" i="13"/>
  <c r="D29" i="13"/>
  <c r="H28" i="13"/>
  <c r="I28" i="13"/>
  <c r="K28" i="13"/>
  <c r="F28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14" i="13"/>
  <c r="D15" i="13"/>
  <c r="D28" i="13" s="1"/>
  <c r="D16" i="13"/>
  <c r="D17" i="13"/>
  <c r="D18" i="13"/>
  <c r="D19" i="13"/>
  <c r="D20" i="13"/>
  <c r="D21" i="13"/>
  <c r="D22" i="13"/>
  <c r="D23" i="13"/>
  <c r="D24" i="13"/>
  <c r="D25" i="13"/>
  <c r="D26" i="13"/>
  <c r="D27" i="13"/>
  <c r="D14" i="13"/>
  <c r="F7" i="13"/>
  <c r="F8" i="13"/>
  <c r="F9" i="13"/>
  <c r="F10" i="13"/>
  <c r="F11" i="13"/>
  <c r="F12" i="13"/>
  <c r="D7" i="13"/>
  <c r="D8" i="13"/>
  <c r="D9" i="13"/>
  <c r="D10" i="13"/>
  <c r="D13" i="13" s="1"/>
  <c r="D11" i="13"/>
  <c r="D12" i="13"/>
  <c r="D6" i="13"/>
  <c r="H66" i="9"/>
  <c r="I66" i="9"/>
  <c r="K8" i="9"/>
  <c r="I8" i="9"/>
  <c r="G64" i="9"/>
  <c r="I56" i="9"/>
  <c r="I57" i="9"/>
  <c r="I58" i="9"/>
  <c r="I59" i="9"/>
  <c r="I60" i="9"/>
  <c r="K60" i="9" s="1"/>
  <c r="I61" i="9"/>
  <c r="I62" i="9"/>
  <c r="I63" i="9"/>
  <c r="K63" i="9" s="1"/>
  <c r="I54" i="9"/>
  <c r="I55" i="9"/>
  <c r="K55" i="9" s="1"/>
  <c r="I53" i="9"/>
  <c r="K53" i="9" s="1"/>
  <c r="I52" i="9"/>
  <c r="K52" i="9" s="1"/>
  <c r="I51" i="9"/>
  <c r="K51" i="9" s="1"/>
  <c r="I47" i="9"/>
  <c r="I46" i="9"/>
  <c r="K46" i="9" s="1"/>
  <c r="G46" i="9"/>
  <c r="K6" i="9"/>
  <c r="K62" i="9"/>
  <c r="K61" i="9"/>
  <c r="K59" i="9"/>
  <c r="K58" i="9"/>
  <c r="K57" i="9"/>
  <c r="K56" i="9"/>
  <c r="K54" i="9"/>
  <c r="K50" i="9"/>
  <c r="K49" i="9"/>
  <c r="K48" i="9"/>
  <c r="K47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7" i="9"/>
  <c r="G62" i="9"/>
  <c r="G63" i="9"/>
  <c r="G56" i="9"/>
  <c r="G57" i="9"/>
  <c r="G58" i="9"/>
  <c r="G59" i="9"/>
  <c r="G60" i="9"/>
  <c r="G61" i="9"/>
  <c r="G53" i="9"/>
  <c r="G54" i="9"/>
  <c r="G55" i="9"/>
  <c r="G52" i="9"/>
  <c r="F52" i="9"/>
  <c r="G51" i="9"/>
  <c r="G47" i="9"/>
  <c r="G48" i="9"/>
  <c r="G49" i="9"/>
  <c r="G50" i="9"/>
  <c r="G38" i="9"/>
  <c r="G39" i="9"/>
  <c r="G40" i="9"/>
  <c r="G41" i="9"/>
  <c r="G42" i="9"/>
  <c r="G43" i="9"/>
  <c r="G44" i="9"/>
  <c r="G45" i="9"/>
  <c r="G33" i="9"/>
  <c r="G34" i="9"/>
  <c r="G35" i="9"/>
  <c r="G36" i="9"/>
  <c r="G37" i="9"/>
  <c r="G32" i="9"/>
  <c r="G31" i="9"/>
  <c r="G30" i="9"/>
  <c r="G25" i="9"/>
  <c r="G26" i="9"/>
  <c r="G27" i="9"/>
  <c r="G28" i="9"/>
  <c r="G29" i="9"/>
  <c r="G16" i="9"/>
  <c r="G17" i="9"/>
  <c r="G18" i="9"/>
  <c r="G19" i="9"/>
  <c r="G20" i="9"/>
  <c r="G21" i="9"/>
  <c r="G22" i="9"/>
  <c r="G23" i="9"/>
  <c r="G24" i="9"/>
  <c r="G15" i="9"/>
  <c r="G14" i="9"/>
  <c r="G13" i="9"/>
  <c r="G12" i="9"/>
  <c r="G11" i="9"/>
  <c r="G10" i="9"/>
  <c r="G9" i="9"/>
  <c r="G8" i="9"/>
  <c r="G7" i="9"/>
  <c r="G6" i="9"/>
  <c r="F64" i="9"/>
  <c r="I64" i="9"/>
  <c r="I50" i="9"/>
  <c r="I44" i="9"/>
  <c r="I45" i="9"/>
  <c r="I48" i="9"/>
  <c r="I49" i="9"/>
  <c r="I37" i="9"/>
  <c r="I38" i="9"/>
  <c r="I39" i="9"/>
  <c r="I40" i="9"/>
  <c r="I41" i="9"/>
  <c r="I42" i="9"/>
  <c r="I43" i="9"/>
  <c r="I26" i="9"/>
  <c r="I27" i="9"/>
  <c r="I28" i="9"/>
  <c r="I29" i="9"/>
  <c r="I30" i="9"/>
  <c r="I31" i="9"/>
  <c r="I32" i="9"/>
  <c r="I33" i="9"/>
  <c r="I34" i="9"/>
  <c r="I35" i="9"/>
  <c r="I36" i="9"/>
  <c r="I16" i="9"/>
  <c r="I17" i="9"/>
  <c r="I18" i="9"/>
  <c r="I19" i="9"/>
  <c r="I20" i="9"/>
  <c r="I21" i="9"/>
  <c r="I22" i="9"/>
  <c r="I23" i="9"/>
  <c r="I24" i="9"/>
  <c r="I25" i="9"/>
  <c r="I14" i="9"/>
  <c r="I15" i="9"/>
  <c r="I13" i="9"/>
  <c r="H64" i="9"/>
  <c r="D21" i="14"/>
  <c r="D22" i="14" s="1"/>
  <c r="E18" i="14"/>
  <c r="C18" i="14"/>
  <c r="C15" i="14"/>
  <c r="D18" i="14"/>
  <c r="D15" i="14"/>
  <c r="E17" i="14"/>
  <c r="E16" i="14"/>
  <c r="E43" i="13"/>
  <c r="C40" i="13"/>
  <c r="G37" i="13"/>
  <c r="G38" i="13"/>
  <c r="G39" i="13"/>
  <c r="C31" i="13"/>
  <c r="D31" i="13" s="1"/>
  <c r="E31" i="13"/>
  <c r="G30" i="13"/>
  <c r="L30" i="13" s="1"/>
  <c r="G29" i="13"/>
  <c r="L29" i="13" s="1"/>
  <c r="G46" i="13"/>
  <c r="G47" i="13"/>
  <c r="G48" i="13"/>
  <c r="G49" i="13"/>
  <c r="G50" i="13"/>
  <c r="G51" i="13"/>
  <c r="G52" i="13"/>
  <c r="G53" i="13"/>
  <c r="G54" i="13"/>
  <c r="G55" i="13"/>
  <c r="G56" i="13"/>
  <c r="G45" i="13"/>
  <c r="G44" i="13"/>
  <c r="E57" i="13"/>
  <c r="C57" i="13"/>
  <c r="C43" i="13"/>
  <c r="E28" i="13"/>
  <c r="C13" i="13"/>
  <c r="E8" i="9"/>
  <c r="F8" i="9"/>
  <c r="J8" i="9"/>
  <c r="G180" i="15"/>
  <c r="G190" i="15" s="1"/>
  <c r="G162" i="15"/>
  <c r="F153" i="15"/>
  <c r="F154" i="15" s="1"/>
  <c r="G149" i="15"/>
  <c r="G150" i="15" s="1"/>
  <c r="G142" i="15"/>
  <c r="H142" i="15" s="1"/>
  <c r="I142" i="15" s="1"/>
  <c r="G138" i="15"/>
  <c r="H138" i="15" s="1"/>
  <c r="I138" i="15" s="1"/>
  <c r="G136" i="15"/>
  <c r="H136" i="15" s="1"/>
  <c r="I136" i="15" s="1"/>
  <c r="G135" i="15"/>
  <c r="H135" i="15" s="1"/>
  <c r="G89" i="15"/>
  <c r="G88" i="15"/>
  <c r="G87" i="15"/>
  <c r="G86" i="15"/>
  <c r="G79" i="15"/>
  <c r="G75" i="15"/>
  <c r="G72" i="15"/>
  <c r="G68" i="15"/>
  <c r="G67" i="15"/>
  <c r="G66" i="15"/>
  <c r="G65" i="15"/>
  <c r="G55" i="15"/>
  <c r="G50" i="15"/>
  <c r="G29" i="15"/>
  <c r="G28" i="15"/>
  <c r="G19" i="15"/>
  <c r="G27" i="15" s="1"/>
  <c r="F78" i="15"/>
  <c r="F72" i="15"/>
  <c r="F7" i="15"/>
  <c r="E5" i="15"/>
  <c r="I5" i="15" s="1"/>
  <c r="E4" i="15"/>
  <c r="I4" i="15" s="1"/>
  <c r="E20" i="14"/>
  <c r="E21" i="14" s="1"/>
  <c r="E19" i="14"/>
  <c r="E14" i="14"/>
  <c r="H13" i="14"/>
  <c r="E13" i="14"/>
  <c r="H12" i="14"/>
  <c r="E12" i="14"/>
  <c r="H11" i="14"/>
  <c r="H10" i="14"/>
  <c r="E10" i="14"/>
  <c r="H9" i="14"/>
  <c r="E9" i="14"/>
  <c r="H8" i="14"/>
  <c r="E8" i="14"/>
  <c r="H7" i="14"/>
  <c r="E7" i="14"/>
  <c r="H6" i="14"/>
  <c r="E6" i="14"/>
  <c r="I27" i="15" l="1"/>
  <c r="H196" i="15"/>
  <c r="I135" i="15"/>
  <c r="I146" i="15" s="1"/>
  <c r="H146" i="15"/>
  <c r="G134" i="15"/>
  <c r="G146" i="15"/>
  <c r="I134" i="15"/>
  <c r="F134" i="15"/>
  <c r="I162" i="15"/>
  <c r="G35" i="15"/>
  <c r="F4" i="15"/>
  <c r="E6" i="15"/>
  <c r="I9" i="15"/>
  <c r="F9" i="15"/>
  <c r="K64" i="9"/>
  <c r="G31" i="13"/>
  <c r="L31" i="13" s="1"/>
  <c r="E15" i="14"/>
  <c r="M57" i="13"/>
  <c r="G57" i="13"/>
  <c r="E11" i="14"/>
  <c r="G42" i="13"/>
  <c r="G41" i="13"/>
  <c r="G7" i="13"/>
  <c r="L7" i="13" s="1"/>
  <c r="G8" i="13"/>
  <c r="L8" i="13" s="1"/>
  <c r="G9" i="13"/>
  <c r="L9" i="13" s="1"/>
  <c r="G10" i="13"/>
  <c r="L10" i="13" s="1"/>
  <c r="G11" i="13"/>
  <c r="L11" i="13" s="1"/>
  <c r="G12" i="13"/>
  <c r="L12" i="13" s="1"/>
  <c r="E6" i="13"/>
  <c r="F6" i="13" s="1"/>
  <c r="F13" i="13" s="1"/>
  <c r="G20" i="13"/>
  <c r="L20" i="13" s="1"/>
  <c r="G19" i="13"/>
  <c r="L19" i="13" s="1"/>
  <c r="G18" i="13"/>
  <c r="L18" i="13" s="1"/>
  <c r="G17" i="13"/>
  <c r="L17" i="13" s="1"/>
  <c r="G25" i="13"/>
  <c r="L25" i="13" s="1"/>
  <c r="G36" i="13"/>
  <c r="I35" i="13"/>
  <c r="J35" i="13" s="1"/>
  <c r="G35" i="13"/>
  <c r="E34" i="13"/>
  <c r="E33" i="13"/>
  <c r="E40" i="13" s="1"/>
  <c r="G32" i="13"/>
  <c r="G27" i="13"/>
  <c r="G22" i="13"/>
  <c r="L22" i="13" s="1"/>
  <c r="J26" i="13"/>
  <c r="C28" i="13"/>
  <c r="G23" i="13"/>
  <c r="G24" i="13"/>
  <c r="G21" i="13"/>
  <c r="L21" i="13" s="1"/>
  <c r="J16" i="13"/>
  <c r="G16" i="13"/>
  <c r="L16" i="13" s="1"/>
  <c r="J15" i="13"/>
  <c r="G15" i="13"/>
  <c r="L15" i="13" s="1"/>
  <c r="J14" i="13"/>
  <c r="G14" i="13"/>
  <c r="L14" i="13" s="1"/>
  <c r="F6" i="15" l="1"/>
  <c r="I6" i="15"/>
  <c r="J25" i="13"/>
  <c r="L23" i="13"/>
  <c r="J27" i="13"/>
  <c r="L27" i="13"/>
  <c r="J24" i="13"/>
  <c r="L24" i="13"/>
  <c r="G43" i="13"/>
  <c r="G26" i="13"/>
  <c r="J21" i="13"/>
  <c r="J28" i="13" s="1"/>
  <c r="G6" i="13"/>
  <c r="E13" i="13"/>
  <c r="G33" i="13"/>
  <c r="G34" i="13"/>
  <c r="J34" i="13" s="1"/>
  <c r="B71" i="9"/>
  <c r="C71" i="9" s="1"/>
  <c r="E55" i="9"/>
  <c r="F55" i="9" s="1"/>
  <c r="J55" i="9" s="1"/>
  <c r="E54" i="9"/>
  <c r="E53" i="9"/>
  <c r="F53" i="9" s="1"/>
  <c r="J53" i="9" s="1"/>
  <c r="E52" i="9"/>
  <c r="J52" i="9" s="1"/>
  <c r="J64" i="9" s="1"/>
  <c r="E51" i="9"/>
  <c r="F51" i="9" s="1"/>
  <c r="E63" i="9"/>
  <c r="F63" i="9" s="1"/>
  <c r="J63" i="9" s="1"/>
  <c r="E62" i="9"/>
  <c r="F62" i="9" s="1"/>
  <c r="J62" i="9" s="1"/>
  <c r="E61" i="9"/>
  <c r="F61" i="9" s="1"/>
  <c r="J61" i="9" s="1"/>
  <c r="F60" i="9"/>
  <c r="J60" i="9" s="1"/>
  <c r="E59" i="9"/>
  <c r="F59" i="9" s="1"/>
  <c r="J59" i="9" s="1"/>
  <c r="E58" i="9"/>
  <c r="F58" i="9" s="1"/>
  <c r="J58" i="9" s="1"/>
  <c r="E57" i="9"/>
  <c r="F57" i="9" s="1"/>
  <c r="J57" i="9" s="1"/>
  <c r="E56" i="9"/>
  <c r="F56" i="9" s="1"/>
  <c r="J56" i="9" s="1"/>
  <c r="G13" i="13" l="1"/>
  <c r="L6" i="13"/>
  <c r="L13" i="13" s="1"/>
  <c r="G28" i="13"/>
  <c r="L26" i="13"/>
  <c r="L28" i="13" s="1"/>
  <c r="G40" i="13"/>
  <c r="F54" i="9"/>
  <c r="J54" i="9" s="1"/>
  <c r="J51" i="9"/>
  <c r="F50" i="9"/>
  <c r="J50" i="9" s="1"/>
  <c r="F48" i="9"/>
  <c r="J48" i="9" s="1"/>
  <c r="F49" i="9"/>
  <c r="J49" i="9" s="1"/>
  <c r="F47" i="9"/>
  <c r="J47" i="9" s="1"/>
  <c r="F46" i="9"/>
  <c r="J46" i="9" s="1"/>
  <c r="F45" i="9"/>
  <c r="J45" i="9" s="1"/>
  <c r="F44" i="9"/>
  <c r="J44" i="9" s="1"/>
  <c r="I10" i="9" l="1"/>
  <c r="I7" i="9"/>
  <c r="I9" i="9"/>
  <c r="I11" i="9"/>
  <c r="I12" i="9"/>
  <c r="J10" i="9" l="1"/>
  <c r="J41" i="9"/>
  <c r="J40" i="9"/>
  <c r="J37" i="9"/>
  <c r="J38" i="9"/>
  <c r="J33" i="9"/>
  <c r="J35" i="9"/>
  <c r="J30" i="9"/>
  <c r="J31" i="9"/>
  <c r="J32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15" i="9"/>
  <c r="J11" i="9"/>
  <c r="J12" i="9"/>
  <c r="F42" i="9"/>
  <c r="H39" i="9"/>
  <c r="H6" i="9"/>
  <c r="F43" i="9"/>
  <c r="J43" i="9" s="1"/>
  <c r="F36" i="9"/>
  <c r="F34" i="9"/>
  <c r="J34" i="9" s="1"/>
  <c r="F22" i="9"/>
  <c r="F14" i="9"/>
  <c r="J14" i="9" s="1"/>
  <c r="F13" i="9"/>
  <c r="J13" i="9" s="1"/>
  <c r="E9" i="9"/>
  <c r="F9" i="9" s="1"/>
  <c r="J9" i="9" s="1"/>
  <c r="E7" i="9"/>
  <c r="F7" i="9" s="1"/>
  <c r="J7" i="9" s="1"/>
  <c r="E6" i="9"/>
  <c r="F6" i="9" s="1"/>
  <c r="J39" i="9" l="1"/>
  <c r="D71" i="9"/>
  <c r="I6" i="9"/>
  <c r="J22" i="9"/>
  <c r="J36" i="9"/>
  <c r="J6" i="9"/>
  <c r="J42" i="9"/>
  <c r="K29" i="7" l="1"/>
  <c r="J18" i="7"/>
  <c r="J38" i="7" l="1"/>
  <c r="K38" i="7" s="1"/>
  <c r="J28" i="7" l="1"/>
  <c r="K28" i="7" s="1"/>
  <c r="K31" i="7" l="1"/>
  <c r="J30" i="7"/>
  <c r="K77" i="7"/>
  <c r="J76" i="7"/>
  <c r="K76" i="7" s="1"/>
  <c r="J75" i="7"/>
  <c r="K75" i="7" s="1"/>
  <c r="J74" i="7"/>
  <c r="K74" i="7" s="1"/>
  <c r="J73" i="7"/>
  <c r="K73" i="7" s="1"/>
  <c r="J72" i="7"/>
  <c r="K72" i="7" s="1"/>
  <c r="J71" i="7"/>
  <c r="K71" i="7" s="1"/>
  <c r="J70" i="7"/>
  <c r="K70" i="7" s="1"/>
  <c r="J69" i="7"/>
  <c r="K69" i="7" s="1"/>
  <c r="J68" i="7"/>
  <c r="K68" i="7" s="1"/>
  <c r="J67" i="7"/>
  <c r="K67" i="7" s="1"/>
  <c r="J66" i="7"/>
  <c r="K66" i="7" s="1"/>
  <c r="J65" i="7"/>
  <c r="K65" i="7" s="1"/>
  <c r="J64" i="7"/>
  <c r="K64" i="7" s="1"/>
  <c r="J63" i="7"/>
  <c r="K63" i="7" s="1"/>
  <c r="J62" i="7"/>
  <c r="K62" i="7" s="1"/>
  <c r="K61" i="7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J53" i="7"/>
  <c r="K53" i="7" s="1"/>
  <c r="J52" i="7"/>
  <c r="K52" i="7" s="1"/>
  <c r="J51" i="7"/>
  <c r="K51" i="7" s="1"/>
  <c r="J50" i="7"/>
  <c r="K50" i="7" s="1"/>
  <c r="J49" i="7"/>
  <c r="K49" i="7" s="1"/>
  <c r="J48" i="7"/>
  <c r="K48" i="7" s="1"/>
  <c r="J47" i="7"/>
  <c r="K47" i="7" s="1"/>
  <c r="K45" i="7"/>
  <c r="K44" i="7"/>
  <c r="K43" i="7"/>
  <c r="K42" i="7"/>
  <c r="J41" i="7"/>
  <c r="K41" i="7" s="1"/>
  <c r="J40" i="7"/>
  <c r="K40" i="7" s="1"/>
  <c r="K39" i="7"/>
  <c r="J37" i="7"/>
  <c r="K37" i="7" s="1"/>
  <c r="J36" i="7"/>
  <c r="K36" i="7" s="1"/>
  <c r="J34" i="7"/>
  <c r="K34" i="7" s="1"/>
  <c r="K30" i="7"/>
  <c r="K27" i="7"/>
  <c r="K26" i="7"/>
  <c r="K25" i="7"/>
  <c r="K23" i="7"/>
  <c r="K19" i="7"/>
  <c r="K18" i="7"/>
  <c r="J17" i="7"/>
  <c r="K17" i="7" s="1"/>
  <c r="J16" i="7"/>
  <c r="K16" i="7" s="1"/>
  <c r="J15" i="7"/>
  <c r="K15" i="7" s="1"/>
  <c r="J14" i="7"/>
  <c r="K14" i="7" s="1"/>
  <c r="D152" i="15" l="1"/>
  <c r="D154" i="15" s="1"/>
  <c r="D228" i="15" s="1"/>
  <c r="E154" i="15"/>
  <c r="E228" i="15" s="1"/>
  <c r="K154" i="16" l="1"/>
  <c r="K157" i="16" s="1"/>
  <c r="J157" i="16"/>
  <c r="D157" i="16"/>
  <c r="D231" i="16" s="1"/>
  <c r="F157" i="16"/>
  <c r="F231" i="16" s="1"/>
  <c r="K99" i="16"/>
</calcChain>
</file>

<file path=xl/comments1.xml><?xml version="1.0" encoding="utf-8"?>
<comments xmlns="http://schemas.openxmlformats.org/spreadsheetml/2006/main">
  <authors>
    <author>Эльмира Доненбаева</author>
  </authors>
  <commentList>
    <comment ref="A25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измнение ПЗ</t>
        </r>
      </text>
    </comment>
  </commentList>
</comments>
</file>

<file path=xl/comments2.xml><?xml version="1.0" encoding="utf-8"?>
<comments xmlns="http://schemas.openxmlformats.org/spreadsheetml/2006/main">
  <authors>
    <author>Эльмира Доненбаева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23 345 за минусом 5 387,2 продление договора за 2014 г (за 1 кв 2015 г), расходы текущего года 2015 г.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заплан. 20 874 из них продление договора за 2014г. (4 182,976), брендбук 1080,0 и печать визиток 1911,6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по договору не позднее 15 октября</t>
        </r>
      </text>
    </comment>
  </commentList>
</comments>
</file>

<file path=xl/comments3.xml><?xml version="1.0" encoding="utf-8"?>
<comments xmlns="http://schemas.openxmlformats.org/spreadsheetml/2006/main">
  <authors>
    <author>Эльмира Доненбаева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23 345 за минусом 5 387,2 продление договора за 2014 г (за 1 кв 2015 г), расходы текущего года 2015 г.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заплан. 20 874 из них продление договора за 2014г. (4 182,976), брендбук 1080,0 и печать визиток 1911,6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по договору не позднее 15 октября</t>
        </r>
      </text>
    </comment>
  </commentList>
</comments>
</file>

<file path=xl/comments4.xml><?xml version="1.0" encoding="utf-8"?>
<comments xmlns="http://schemas.openxmlformats.org/spreadsheetml/2006/main">
  <authors>
    <author>Эльмира Доненбаева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23 345 за минусом 5 387,2 продление договора за 2014 г (за 1 кв 2015 г), расходы текущего года 2015 г.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заплан. 20 874 из них продление договора за 2014г. (4 182,976), брендбук 1080,0 и печать визиток 1911,6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04"/>
          </rPr>
          <t>Эльмира Доненбаева:</t>
        </r>
        <r>
          <rPr>
            <sz val="9"/>
            <color indexed="81"/>
            <rFont val="Tahoma"/>
            <family val="2"/>
            <charset val="204"/>
          </rPr>
          <t xml:space="preserve">
по договору не позднее 15 октября</t>
        </r>
      </text>
    </comment>
  </commentList>
</comments>
</file>

<file path=xl/sharedStrings.xml><?xml version="1.0" encoding="utf-8"?>
<sst xmlns="http://schemas.openxmlformats.org/spreadsheetml/2006/main" count="1989" uniqueCount="510">
  <si>
    <t>АО "Казахстанский фонд гарантирования депозитов"</t>
  </si>
  <si>
    <t>№</t>
  </si>
  <si>
    <t>Вид предмета закупок</t>
  </si>
  <si>
    <t>Способ    закупок</t>
  </si>
  <si>
    <t>Единица измерения (в соответствии с КТРУ)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</si>
  <si>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</si>
  <si>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</si>
  <si>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</si>
  <si>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</si>
  <si>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Планируемый срок осуществления государственных закупок(месяц)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</si>
  <si>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</si>
  <si>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</si>
  <si>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</si>
  <si>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</si>
  <si>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Услуги по перестрахованию страхования от несчастных случаев</t>
  </si>
  <si>
    <t xml:space="preserve">Жазатайым жағдайдан жұмысшыны міндетті сақтандыру </t>
  </si>
  <si>
    <t>Обязательное страхование работника от несчастных случаев</t>
  </si>
  <si>
    <t>Одна услуга</t>
  </si>
  <si>
    <t>08 Август</t>
  </si>
  <si>
    <t>III-IV кварталы 2015 г.</t>
  </si>
  <si>
    <t>751410000</t>
  </si>
  <si>
    <t>Добровольное медицинское страхование работников</t>
  </si>
  <si>
    <t>Ремонт компьютеров, принтеров, сканеров, факсимильного и копировального аппарата</t>
  </si>
  <si>
    <t>Работа</t>
  </si>
  <si>
    <t>Работы строительные по ремонту помещения</t>
  </si>
  <si>
    <t>Бөлмелерді жөндеу</t>
  </si>
  <si>
    <t>Ремонт помещений</t>
  </si>
  <si>
    <t>Услуги по размещению имиджевого видеоролика на телеканалах</t>
  </si>
  <si>
    <t>Услуги по редактированию аудиовизуальной продукции</t>
  </si>
  <si>
    <t>Имидждік аудиоролигін жасау қызметі</t>
  </si>
  <si>
    <t xml:space="preserve">Услуги по изготовлению аудиоролика имиджевого </t>
  </si>
  <si>
    <t>Услуги по размещению  аудиоролика на радио</t>
  </si>
  <si>
    <t>Подготовка и размещение статей и информационных сообщений в официальных республиканских и региональных периодических печатных изданиях</t>
  </si>
  <si>
    <t>Товар</t>
  </si>
  <si>
    <t>Изготовление брошюр  "Памятка вкладчику"</t>
  </si>
  <si>
    <t>Штука</t>
  </si>
  <si>
    <t>Материалы  печатные, не включенные в другие группировки</t>
  </si>
  <si>
    <t>Изготовление Стратегического плана развития</t>
  </si>
  <si>
    <t>Изготовление комплектов "Поздравительная открытка и конверт"</t>
  </si>
  <si>
    <t>Брошюра "Годовой отчет"</t>
  </si>
  <si>
    <t>Стикеры самоклеющиеся</t>
  </si>
  <si>
    <t>Листовки</t>
  </si>
  <si>
    <t>Услуги информационные, не включенные в другие группировки прочие</t>
  </si>
  <si>
    <t>Предоставление ежедневных информационных обзоров СМИ</t>
  </si>
  <si>
    <t>Услуги по разработке интернет-сайта</t>
  </si>
  <si>
    <t>www.kdif.kz интернет сайтты дамыту бойынша қызымет көрсету</t>
  </si>
  <si>
    <t xml:space="preserve">Услуги по разработке интернет-сайта www.kdif.kz
</t>
  </si>
  <si>
    <t>Предоставление доступа к информационной базе НПА РК</t>
  </si>
  <si>
    <t>Обслуживание Бух.базы  "ИС Параграф" на 1 пользователя</t>
  </si>
  <si>
    <t>Услуги консультационные по использованию информационных систем</t>
  </si>
  <si>
    <t>БАТА программалық қамтамасыз етудi бақылап отыру</t>
  </si>
  <si>
    <t>Сопровождение ПО "БАТА"</t>
  </si>
  <si>
    <t>IBM SPSS Statistics Version 20 – программа для статистической обработки данных, предназначенная для проведения прикладных исследований.</t>
  </si>
  <si>
    <t xml:space="preserve">БД "НПА НБРК"
</t>
  </si>
  <si>
    <t>06 Июнь</t>
  </si>
  <si>
    <t>Услуги и работы различные прочие, не включенные в другие группировки</t>
  </si>
  <si>
    <t xml:space="preserve">Дип ИФР
</t>
  </si>
  <si>
    <t xml:space="preserve">ҚЕХС  бойынша қызметкерлерді оқыту </t>
  </si>
  <si>
    <t>Обучение сотрудников по МСФО</t>
  </si>
  <si>
    <t>Семинар по ценным бумагам</t>
  </si>
  <si>
    <t>Обучение по программированию в Transact-SQL в рамках курса "2778 Writing Queries Using MS SQL Server 2008"</t>
  </si>
  <si>
    <t>Обучение по программированию в Transact-SQL в рамках курса "107775 Администрирование баз данных MS SQL Server 2012"</t>
  </si>
  <si>
    <t>II квартал 2015 г.</t>
  </si>
  <si>
    <t>Анализ финансовой отчетности</t>
  </si>
  <si>
    <t>Подготовка и переподготовка кадров за рубежом</t>
  </si>
  <si>
    <t>Аренда легковых автомобилей с предоставлением услуг водителя</t>
  </si>
  <si>
    <t>Жүргізушімен (шаруашылық қызметке) жеңіл автокөлікті жалдау</t>
  </si>
  <si>
    <t>Аренда легкового автомобиля (для хозяйственных нужд) с водителем</t>
  </si>
  <si>
    <t>Доступ к сети интернет (по выделенному  волоконно-оптическому каналу, без учета трафика, безлимитный пропускной способностью порта не менее 8 Мбит/с)</t>
  </si>
  <si>
    <t>Услуги оператора мобильной связи</t>
  </si>
  <si>
    <t xml:space="preserve">Услуги связи АО "Алматытелеком" </t>
  </si>
  <si>
    <t>Доменное имя , хостинг и  техническая поддержка  сайта</t>
  </si>
  <si>
    <t>Общедоступные услуги почтовой связи</t>
  </si>
  <si>
    <t>Почтовые курьерские услуги</t>
  </si>
  <si>
    <t>Услуги ФАСТИ</t>
  </si>
  <si>
    <t>Хозяйственная аренда нежилых помещений с сопутствующими услугами</t>
  </si>
  <si>
    <t>Представительские расходы</t>
  </si>
  <si>
    <t>Услуги по проведению ревизий финансовых</t>
  </si>
  <si>
    <t xml:space="preserve">(Сыртқы аудит) аудиторлық қызмет көрсетуі </t>
  </si>
  <si>
    <t>Аудиторские услуги (внешний аудит)</t>
  </si>
  <si>
    <t>IV квартал 2015 г.</t>
  </si>
  <si>
    <t>Услуга по ведению  счета в АО "Центральной депозитарий"</t>
  </si>
  <si>
    <t>Услуги за ведение счета в Bank of New York</t>
  </si>
  <si>
    <t xml:space="preserve">Услуги ДМОиУА Национального Банка Республики Казахстан </t>
  </si>
  <si>
    <t xml:space="preserve">Комиссия за банковские услуги </t>
  </si>
  <si>
    <t>Комиссия за банковские услуги КФБ</t>
  </si>
  <si>
    <t>Нотариальные услуги</t>
  </si>
  <si>
    <t>Твердый переплет документов</t>
  </si>
  <si>
    <t>Визитки двусторонние</t>
  </si>
  <si>
    <t>Услуги по предоставлению лицензий на право использования  антивирусного программного обеспечения</t>
  </si>
  <si>
    <t>Антивирустық бағдарламаны жаңарту</t>
  </si>
  <si>
    <t xml:space="preserve">Обновление антивирусной программы </t>
  </si>
  <si>
    <t>10 Октябрь</t>
  </si>
  <si>
    <t>Письменный перевод финансовых и иных  документов с русского на казахский язык</t>
  </si>
  <si>
    <t>Вознаграждение независимым  директорам</t>
  </si>
  <si>
    <t>Программирование Мини-АТС</t>
  </si>
  <si>
    <t>Выпуск ЭЦП</t>
  </si>
  <si>
    <t>Подписка на периодические издания</t>
  </si>
  <si>
    <t xml:space="preserve">Принтер лазерный </t>
  </si>
  <si>
    <t>Диски для сервера Dell PowerEdge T710  - 600GB SAS 6Gbps 15k 3.5" Hotplug Hard Drive - Kit</t>
  </si>
  <si>
    <t>SharePointStdCAL RUS SA OLP C Gov UsrCAL</t>
  </si>
  <si>
    <t>SharePointStdCAL RUS LicSAPk OLP C UsrCAL</t>
  </si>
  <si>
    <t>SharePointSvr RUS SA OLP C Gov</t>
  </si>
  <si>
    <t>SharePointEntCAL RUS SA OLP C Gov UsrCAL</t>
  </si>
  <si>
    <t>SharePointEntCAL RUS LicSAPk OLP C UsrCAL</t>
  </si>
  <si>
    <t>SQLCAL RUS SA OLP C Gov UsrCAL</t>
  </si>
  <si>
    <t>SQLCAL RUS LicSAPk OLP C Gov UsrCAL</t>
  </si>
  <si>
    <t>SQLSvrEnt RUS SA OLP С Gov</t>
  </si>
  <si>
    <t>SQLSvrEntCore RUS SA OLP 2Lic C Gov CoreLic</t>
  </si>
  <si>
    <t>WinSvrStd RUS SA OLP C Gov 2Proc</t>
  </si>
  <si>
    <t>WinSvrCAL RUS SA OLP C Gov UsrCAL</t>
  </si>
  <si>
    <t>WinSvrCAL RUS LicSAPk OLP C Gov UsrCAL</t>
  </si>
  <si>
    <t>OfficeProPlus RUS SA OLP C Gov</t>
  </si>
  <si>
    <t>VSUltwMSDN ALNG LicSAPk OLP C Gov</t>
  </si>
  <si>
    <t>WinPro RUS SA OLP B Gov (WinEntforSA RUS UpgrdSAPk
ILP B Gov)</t>
  </si>
  <si>
    <t>MS WinPro 8.1 SNGL OLP NL Legalization
GetGenuine wCOA</t>
  </si>
  <si>
    <t>WinRAR Standard Licence</t>
  </si>
  <si>
    <t>Пользовательские лицензии для прокси сервер UserGate 6.X</t>
  </si>
  <si>
    <t>Тумба</t>
  </si>
  <si>
    <t>Шкаф для одежды</t>
  </si>
  <si>
    <t>Письменный стол</t>
  </si>
  <si>
    <t xml:space="preserve">Стол-приставка </t>
  </si>
  <si>
    <t>Шкаф для документов</t>
  </si>
  <si>
    <t xml:space="preserve">Шкаф металлический двух секционный </t>
  </si>
  <si>
    <t>Сейфы</t>
  </si>
  <si>
    <t xml:space="preserve">Стеллажи металлические </t>
  </si>
  <si>
    <t>Ролл шторы</t>
  </si>
  <si>
    <t>Ручка шариковая</t>
  </si>
  <si>
    <t>ежедневник</t>
  </si>
  <si>
    <t xml:space="preserve">2016 жылға А5 форматымен былғары даталы күнделік </t>
  </si>
  <si>
    <t>Ежедневник датированный  А5 на 2016 год</t>
  </si>
  <si>
    <t>Папка на резинках</t>
  </si>
  <si>
    <t>Папка с зажимом</t>
  </si>
  <si>
    <t>Скобы №10</t>
  </si>
  <si>
    <t>Клей -карандаш</t>
  </si>
  <si>
    <t xml:space="preserve">Точилка </t>
  </si>
  <si>
    <t>Штемпельная краска синяя</t>
  </si>
  <si>
    <t>Фирменные бланки</t>
  </si>
  <si>
    <t>Вода питьевая объемом 19  литров</t>
  </si>
  <si>
    <t>Литр (куб. дм.)</t>
  </si>
  <si>
    <t>Вода питьевая  0,5  литров</t>
  </si>
  <si>
    <t>Реквизитный штампик</t>
  </si>
  <si>
    <t>CF 214A</t>
  </si>
  <si>
    <t>HP CF208X</t>
  </si>
  <si>
    <t>Xerox  006 R01160 Тонер -картридж</t>
  </si>
  <si>
    <t>Kyocera TK-170   (FS -1320)</t>
  </si>
  <si>
    <t>Xerox  013ROO591 Принт-картридж</t>
  </si>
  <si>
    <t>Xerox 106RO1487  ( WC3220)</t>
  </si>
  <si>
    <t>Скоросшиватель пластиковый</t>
  </si>
  <si>
    <t>Ножи канцелярские</t>
  </si>
  <si>
    <t>Ручка гельевая</t>
  </si>
  <si>
    <t>Карандаш</t>
  </si>
  <si>
    <t>Файл А4</t>
  </si>
  <si>
    <t>Бланк</t>
  </si>
  <si>
    <t>Компьютер</t>
  </si>
  <si>
    <t xml:space="preserve">Компьютер жинақталуымен  </t>
  </si>
  <si>
    <t xml:space="preserve">Компьютер в комплекте </t>
  </si>
  <si>
    <t>III - IV кварталы  2015 г.</t>
  </si>
  <si>
    <t>Оригиналы программных обеспечений прочих</t>
  </si>
  <si>
    <t>Кресло</t>
  </si>
  <si>
    <t>Шкаф</t>
  </si>
  <si>
    <t>Киімге арналған  шкаф</t>
  </si>
  <si>
    <t>стол</t>
  </si>
  <si>
    <t>Жазба столы</t>
  </si>
  <si>
    <t>Сейф</t>
  </si>
  <si>
    <t>Қаржылық есеп бойынша талдау</t>
  </si>
  <si>
    <t>Мини -АТС бағдарламалау</t>
  </si>
  <si>
    <t xml:space="preserve">Екі секциялық темір  шкаф </t>
  </si>
  <si>
    <t>Стеллаж</t>
  </si>
  <si>
    <t>Стеллаж металдан</t>
  </si>
  <si>
    <t>Жалюзи</t>
  </si>
  <si>
    <t>Метр квадратный</t>
  </si>
  <si>
    <t>Штампик для входящей  документации</t>
  </si>
  <si>
    <t>Картридж</t>
  </si>
  <si>
    <t>Картридж HP Color LaserJet CB401A  түпнұсқасы</t>
  </si>
  <si>
    <t>Картридж HP Color LaserJet CB402A  түпнұсқасы</t>
  </si>
  <si>
    <t>Картридж HP Color LaserJet CB403A  түпнұсқасы</t>
  </si>
  <si>
    <t>Картридж XEROX Phaser 5335  оригинал</t>
  </si>
  <si>
    <t>Картридж Kyocera TK440 оригинал</t>
  </si>
  <si>
    <t>Картридж HP Color LaserJet CB400A  оригинал</t>
  </si>
  <si>
    <t>Картридж HP LaserJet СЕ 505A оригинал</t>
  </si>
  <si>
    <t>Картридж HP LaserJet Q2612A оригинал</t>
  </si>
  <si>
    <t>Картридж HP LaserJet СВ436А  оригинал</t>
  </si>
  <si>
    <t>Изготовление наборa календарей настенного и настольного на 2016 год</t>
  </si>
  <si>
    <t>Услуги по повышению квалификации экономистов, бухгалтеров на курсах по переходу на международные стандарты бухучета и финансовой отчетности</t>
  </si>
  <si>
    <t>Услуги по повышению квалификации экономистов, бухгалтеров на курсах по переходу на международные стандарты бухучета ифинансовой отчетности</t>
  </si>
  <si>
    <t xml:space="preserve">Құнды қағаздар бойынша  семинар </t>
  </si>
  <si>
    <t>Сейфтер</t>
  </si>
  <si>
    <t>Услуги, связанные с производством кинофильмов, видеофильмов и фильмов, вспомогательные прочие, не включенные в другие гр</t>
  </si>
  <si>
    <t>Имидж бейнеролигін жасау қызметі</t>
  </si>
  <si>
    <t xml:space="preserve">Услуги по изготовлению видеоролика имиджевого </t>
  </si>
  <si>
    <t xml:space="preserve">"Тәуекелді басқару" қызметкерледі оқыту  </t>
  </si>
  <si>
    <t>Обучение сотрудников "Управление рисками"</t>
  </si>
  <si>
    <t xml:space="preserve">Тумба </t>
  </si>
  <si>
    <t xml:space="preserve"> Тумба</t>
  </si>
  <si>
    <t xml:space="preserve">Картридж HP LaserJet Q7516A  оригинал </t>
  </si>
  <si>
    <t>Печать для датирования</t>
  </si>
  <si>
    <t>IV квартал</t>
  </si>
  <si>
    <t xml:space="preserve">маркеры  текстовые </t>
  </si>
  <si>
    <t>штука</t>
  </si>
  <si>
    <t>еженедельник</t>
  </si>
  <si>
    <t>еженедельник датированный  А5 на 2016 год</t>
  </si>
  <si>
    <t>2016 жылға А5 форматымен былғары даталы апталык кітапша</t>
  </si>
  <si>
    <t>скотч 48*200</t>
  </si>
  <si>
    <t>Конверты А4</t>
  </si>
  <si>
    <t>Папка регистратор, 50 мм</t>
  </si>
  <si>
    <t>Папка- регистраторы 75 мм</t>
  </si>
  <si>
    <t>Скоросшиватель картонный</t>
  </si>
  <si>
    <t>Степлер № 10/15 из пластика с металлическими скрытыми стрежнями</t>
  </si>
  <si>
    <t>Набор корректор +разбавитель</t>
  </si>
  <si>
    <t>Скрепки - 28мм 100ш</t>
  </si>
  <si>
    <t xml:space="preserve">Папка -уголок А-4 </t>
  </si>
  <si>
    <t>Скобы №24</t>
  </si>
  <si>
    <t>Герб -0,5 мм</t>
  </si>
  <si>
    <t>Флаг</t>
  </si>
  <si>
    <t>Таблички для дверей</t>
  </si>
  <si>
    <t>Лампочки</t>
  </si>
  <si>
    <t>посуда( набор чайных пар)</t>
  </si>
  <si>
    <t>чайные ложки</t>
  </si>
  <si>
    <t>Подставка для брюшор с овальным оскованием</t>
  </si>
  <si>
    <t>Семинар по заполнению декларации ФНО 100,200</t>
  </si>
  <si>
    <t>Семинар по изменением в НК</t>
  </si>
  <si>
    <t>Декларация толтыру бойынша семинар</t>
  </si>
  <si>
    <t>СК өзгерістері бойынша семинар</t>
  </si>
  <si>
    <t>Герб</t>
  </si>
  <si>
    <t>Жалау</t>
  </si>
  <si>
    <t>Табличка</t>
  </si>
  <si>
    <t>07 Июль</t>
  </si>
  <si>
    <t>Услуги по изготовлению брендбука АО «Казахстанский фонд гарантирования депозитов»</t>
  </si>
  <si>
    <t>Услуги по перевозкам на автодорожном транспорте, оказываемые при переезде физическим и юридическим лицам</t>
  </si>
  <si>
    <t>Услуги по разборке-сборке мебели</t>
  </si>
  <si>
    <t>Услуги по погрузке-разгрузке</t>
  </si>
  <si>
    <t xml:space="preserve"> Буып түйетін материалдар</t>
  </si>
  <si>
    <t>Упаковочные материалы</t>
  </si>
  <si>
    <t>Командировочные расходы</t>
  </si>
  <si>
    <t>Бумага форматом А4 для лазерного принтера</t>
  </si>
  <si>
    <t>Одна пачка</t>
  </si>
  <si>
    <t>Бумага форматом А3 для лазерного принтера</t>
  </si>
  <si>
    <t>есікке жазылған тақтайша</t>
  </si>
  <si>
    <t>Сопақ кітапшаға арналған түпқойма</t>
  </si>
  <si>
    <t xml:space="preserve">Фирмалық бланкілер </t>
  </si>
  <si>
    <t xml:space="preserve"> Услуги за ведение реестра ценных бумаг  АО  "Единый регистратор ценных бумаг"</t>
  </si>
  <si>
    <t>Услуги за проведение эл.платежей в ДФУ и МФО НБРК</t>
  </si>
  <si>
    <t>Транспортные услуги  при переезде</t>
  </si>
  <si>
    <t>Услуги грузчиков при переезде</t>
  </si>
  <si>
    <t>Услуги по разборке и сборке мебели</t>
  </si>
  <si>
    <t>16</t>
  </si>
  <si>
    <t>18</t>
  </si>
  <si>
    <t>Жүк тиеушінің қызметі</t>
  </si>
  <si>
    <t>Жиһазды бөлшектеу және құрастыру қызметі</t>
  </si>
  <si>
    <t>Көшкенде  автокөлікті  жалдау қызметі</t>
  </si>
  <si>
    <t>Подставка</t>
  </si>
  <si>
    <t xml:space="preserve">Председатель </t>
  </si>
  <si>
    <t xml:space="preserve">Заместитель Председателя  </t>
  </si>
  <si>
    <t xml:space="preserve">                                                                                                                       </t>
  </si>
  <si>
    <t xml:space="preserve">Главный бухгалтер  </t>
  </si>
  <si>
    <t>Директор юридического департамента</t>
  </si>
  <si>
    <t>Начальник   АХО</t>
  </si>
  <si>
    <t xml:space="preserve">Печать двухсторонних визиток с контактами Фонда на государственном и русском языках </t>
  </si>
  <si>
    <t>11 Ноябрь</t>
  </si>
  <si>
    <t xml:space="preserve">                                                                                 </t>
  </si>
  <si>
    <t xml:space="preserve">                                                                               </t>
  </si>
  <si>
    <t>III  квартал 2015 г.</t>
  </si>
  <si>
    <t>II-IV кварталы 2015  г.</t>
  </si>
  <si>
    <t>Сувенирная продукция</t>
  </si>
  <si>
    <t>Тапсырыс берушінің логотибі бар ұлттық тақырыптар бойынша базарлық</t>
  </si>
  <si>
    <t>Сувенир на национальную тематику с логотипом Заказчика</t>
  </si>
  <si>
    <t>991240000414</t>
  </si>
  <si>
    <t>Тындыбаев М.</t>
  </si>
  <si>
    <t>Экономия</t>
  </si>
  <si>
    <t xml:space="preserve">Комплекс услуг по организации пресс-конференций (подготовка пресс-релизов на русском, казахском и английском языках, рассылка пресс-релизов, формирование и аккредитация журналистов, архивная фото и видеосъемка, подготовка бейджей, подготовка финального медиа отчета по итогам мероприятия) </t>
  </si>
  <si>
    <t>Баспасөз-конференциясын ұйымдастыруға байланысты қызметтер кешені (баспасөз мәлімдемелерін қазақ, орыс және ағылшын тілдерінде әзірлеу, баспасөз мәлімдемелерін базадағы мекен-жайларға жіберу, журналистердің тізімін құру және аккредитациялау, архивтік фото және видеотүсірілім жасау, бейджерді дайындау, өткізілген шара бойынша қорытынды есеп әзірлеу)</t>
  </si>
  <si>
    <t xml:space="preserve">Комплекс услуг по организации пресс-конференций </t>
  </si>
  <si>
    <t>исключен</t>
  </si>
  <si>
    <t>09 Сентябрь</t>
  </si>
  <si>
    <t>III-IV кварталы 2015  г.</t>
  </si>
  <si>
    <r>
      <t>Изготовление Стратегического плана развития</t>
    </r>
    <r>
      <rPr>
        <sz val="12"/>
        <color rgb="FFFF0000"/>
        <rFont val="Times New Roman"/>
        <family val="1"/>
        <charset val="204"/>
      </rPr>
      <t xml:space="preserve"> (исключен)</t>
    </r>
  </si>
  <si>
    <t>III-квартал 2015 г.</t>
  </si>
  <si>
    <t>приказ №20 от 02.04.15</t>
  </si>
  <si>
    <t>OfficeProPlus RUS LicSAPk OLP C Gov  заменено OfficeStd 2013 Lic RUS OPL C GOV</t>
  </si>
  <si>
    <t>Сумма с учетом корректировок</t>
  </si>
  <si>
    <t xml:space="preserve">Фактическая сумма 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</si>
  <si>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</si>
  <si>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</si>
  <si>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</si>
  <si>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>Характеристика (описание) товаров, работ и услуг на русском языке</t>
  </si>
  <si>
    <t xml:space="preserve">Единица измерения 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</si>
  <si>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</si>
  <si>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</si>
  <si>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Конкурс</t>
  </si>
  <si>
    <t>конкурс</t>
  </si>
  <si>
    <t>прямое заключения договора</t>
  </si>
  <si>
    <t>"Қазақстанның депозиттерге кепілдік беру қоры" АҚ</t>
  </si>
  <si>
    <t>Когулов Б.Б.</t>
  </si>
  <si>
    <t>Абжанов К.К.</t>
  </si>
  <si>
    <t xml:space="preserve">Заместитель Председателя </t>
  </si>
  <si>
    <t>Даулетбердиев О.А.</t>
  </si>
  <si>
    <t>Пичитаева А.А.</t>
  </si>
  <si>
    <t>Сахариев А.Б.</t>
  </si>
  <si>
    <t>Доненбаева Э.А.</t>
  </si>
  <si>
    <t>Досумов Б.</t>
  </si>
  <si>
    <t>Абдраманова М.</t>
  </si>
  <si>
    <t>Сапаргали А.</t>
  </si>
  <si>
    <t>ІIІ-IV кварталы 2015 г</t>
  </si>
  <si>
    <t>OfficeStd 2013 Lic RUS OPL C GOV</t>
  </si>
  <si>
    <t>III квартал 2015  г.</t>
  </si>
  <si>
    <t>Утверждено приказом</t>
  </si>
  <si>
    <t>Согласовано:</t>
  </si>
  <si>
    <t>IV квартал 2015 года</t>
  </si>
  <si>
    <t>Обучение "Гражданское право"</t>
  </si>
  <si>
    <t xml:space="preserve">"Азаматтық құқық" бойынша қызметкерлерді оқыту </t>
  </si>
  <si>
    <t>III - квартал 2015 года</t>
  </si>
  <si>
    <t>План закупок товаров, работ и услуг на 2015 год</t>
  </si>
  <si>
    <t>II-III кварталы  2015 г.</t>
  </si>
  <si>
    <t>2015 г. (01.06.2015 г.-31.12.2015 г.)</t>
  </si>
  <si>
    <t>"Строго конфидициально" штампы</t>
  </si>
  <si>
    <t>Сумма по  договору</t>
  </si>
  <si>
    <t>Штамп "Строго конфидициально"</t>
  </si>
  <si>
    <t xml:space="preserve"> Обучение "Гражданское право"</t>
  </si>
  <si>
    <t xml:space="preserve">Обучение сотрудников по государственным закупкам </t>
  </si>
  <si>
    <t>Побелка водоэмульсионной краской кабинета</t>
  </si>
  <si>
    <t>Водоэмульсионная краска</t>
  </si>
  <si>
    <t>Шпатлевка 25 кг</t>
  </si>
  <si>
    <t>Пленка полиэтиленовая метражная</t>
  </si>
  <si>
    <t>Валик</t>
  </si>
  <si>
    <t>Побелка водоэмульсионной краской потолка и стен</t>
  </si>
  <si>
    <t>Водоэмульсионная краска 25 кг</t>
  </si>
  <si>
    <t>Шпатлевка «Глатт »  25 кг</t>
  </si>
  <si>
    <t>Пленка полиэтиленовая 1 500*80мп</t>
  </si>
  <si>
    <t xml:space="preserve">Валик </t>
  </si>
  <si>
    <t>Наименование товаров и услуг</t>
  </si>
  <si>
    <t xml:space="preserve">Внесенные изменения </t>
  </si>
  <si>
    <t>Общая сумма, утвержденная  для закупки, тенге с НДС</t>
  </si>
  <si>
    <t>Внесенные изменения без НДС</t>
  </si>
  <si>
    <t>Внесенные изменения с НДС</t>
  </si>
  <si>
    <t>Автоматизация и сопровождения 1 С Бухгалтерия 8.2</t>
  </si>
  <si>
    <t>Certified Financial Analyst (CFA) Level I</t>
  </si>
  <si>
    <t xml:space="preserve">Доступ к сети интернет  </t>
  </si>
  <si>
    <t>Примечание:</t>
  </si>
  <si>
    <t xml:space="preserve">Корректировка сумм бюджета  (переброс сумм из одной статьи в другую и внутри статьи) </t>
  </si>
  <si>
    <t>Наименование закупаемых товаров, работ, услуг</t>
  </si>
  <si>
    <t>расторгнут договор</t>
  </si>
  <si>
    <t>Обучение сотрудниковна семинаре "Гражданское право"</t>
  </si>
  <si>
    <t>Комплекс услуг по проведению пресс-конференций</t>
  </si>
  <si>
    <t>Итого по рекламе</t>
  </si>
  <si>
    <t xml:space="preserve">№ пунктов </t>
  </si>
  <si>
    <t>Итого по материалам</t>
  </si>
  <si>
    <t>Итого по обучению</t>
  </si>
  <si>
    <t>Итого по страхованию</t>
  </si>
  <si>
    <t>Итого по Программным обеспечениям</t>
  </si>
  <si>
    <t>Итого по сопровождению ПО</t>
  </si>
  <si>
    <t>Всего корректировок внутри статьей</t>
  </si>
  <si>
    <t>№ пунктов</t>
  </si>
  <si>
    <t>Корректировка бюджета Фонда (переброс)  из одной статьи в другую статью</t>
  </si>
  <si>
    <t xml:space="preserve">Итого: </t>
  </si>
  <si>
    <t>Всего корректировок из одной статьи в другую</t>
  </si>
  <si>
    <t>Общая сумма, утвержденная  без НДС</t>
  </si>
  <si>
    <t>Общая сумма, утвержденная  с НДС</t>
  </si>
  <si>
    <t>Сумма с учетом корректировок без НДС</t>
  </si>
  <si>
    <t>Сумма с учетом корректировок с НДС</t>
  </si>
  <si>
    <t>Общая сумма, утвержденная  для закупки, тенге без НДС</t>
  </si>
  <si>
    <t>Корректировка бюджета внутри статьей "Реклама", "Материальные затраты", "Обучение работников", "Сопровождение ПО", "Страхование", "ПО"</t>
  </si>
  <si>
    <t>Была произведена корректировка на сумму  = 9 031,23</t>
  </si>
  <si>
    <t>Остаток сумм, подлежащих к корректировке 11 123,7- 9 031,23 = 2 092,47</t>
  </si>
  <si>
    <t>Всего корректировок:</t>
  </si>
  <si>
    <t xml:space="preserve">Экономия </t>
  </si>
  <si>
    <t>Сумма заключенных договоров с НДС</t>
  </si>
  <si>
    <r>
      <t xml:space="preserve">Услуги по изготовлению видеоролика имиджевого </t>
    </r>
    <r>
      <rPr>
        <sz val="12"/>
        <color indexed="8"/>
        <rFont val="Calibri"/>
        <family val="2"/>
        <charset val="204"/>
      </rPr>
      <t>*</t>
    </r>
  </si>
  <si>
    <t>9</t>
  </si>
  <si>
    <t xml:space="preserve">Итого по страхованию:  </t>
  </si>
  <si>
    <t xml:space="preserve">Итого по ремонту:  </t>
  </si>
  <si>
    <t xml:space="preserve">Итого по рекламе:  </t>
  </si>
  <si>
    <t>10</t>
  </si>
  <si>
    <t>11</t>
  </si>
  <si>
    <t>12</t>
  </si>
  <si>
    <t>Общая сумма по бюджету с НДС</t>
  </si>
  <si>
    <r>
      <t xml:space="preserve">Услуги по изготовлению аудиоролика имиджевого </t>
    </r>
    <r>
      <rPr>
        <sz val="12"/>
        <color indexed="8"/>
        <rFont val="Calibri"/>
        <family val="2"/>
        <charset val="204"/>
      </rPr>
      <t>*</t>
    </r>
  </si>
  <si>
    <t xml:space="preserve">Итого по сопровождению ПО:  </t>
  </si>
  <si>
    <t>Тех.сопровождение "SalT Inspect" и "SalT Payout"</t>
  </si>
  <si>
    <t xml:space="preserve">Итого по расходным материалам:  </t>
  </si>
  <si>
    <t xml:space="preserve">Итого по транспорту:  </t>
  </si>
  <si>
    <r>
      <t>Аренда легкового автомобиля (для хозяйственных нужд) с водителем</t>
    </r>
    <r>
      <rPr>
        <sz val="12"/>
        <color indexed="8"/>
        <rFont val="Calibri"/>
        <family val="2"/>
        <charset val="204"/>
      </rPr>
      <t>**</t>
    </r>
  </si>
  <si>
    <r>
      <t>Аренда легкового автомобиля (для руководителя) с водителем</t>
    </r>
    <r>
      <rPr>
        <sz val="12"/>
        <color indexed="8"/>
        <rFont val="Calibri"/>
        <family val="2"/>
        <charset val="204"/>
      </rPr>
      <t>**</t>
    </r>
  </si>
  <si>
    <t>Аренда легкового автомобиля (для советника) с водителем**</t>
  </si>
  <si>
    <t xml:space="preserve">Итого по обучению внутри РК:  </t>
  </si>
  <si>
    <t xml:space="preserve">Итого по услугам связи:  </t>
  </si>
  <si>
    <t>Корректировка</t>
  </si>
  <si>
    <t xml:space="preserve">Итого по спец. услугам:  </t>
  </si>
  <si>
    <t xml:space="preserve">Итого по прочим расходам:  </t>
  </si>
  <si>
    <t xml:space="preserve">OfficeStd 2013 Lic RUS OPL C GOV      </t>
  </si>
  <si>
    <t xml:space="preserve">Итого по ПО:  </t>
  </si>
  <si>
    <t xml:space="preserve">Итого по подписке:  </t>
  </si>
  <si>
    <t xml:space="preserve">Итого по мебели:  </t>
  </si>
  <si>
    <t>CD-R SP -050 700 MB 52XDL EP</t>
  </si>
  <si>
    <t>Media Pointer Genius LCD 2.4Ghz (пульт для презентаций)</t>
  </si>
  <si>
    <t>Toner-cartridge Panasonic/KX-FAT88A7</t>
  </si>
  <si>
    <t>USB-Flash Transcend 16Gb,USB2.0,JetFlash,TS16GJF300</t>
  </si>
  <si>
    <t>Лекарство (пополнение аптечки)</t>
  </si>
  <si>
    <t xml:space="preserve">Антистеплер  </t>
  </si>
  <si>
    <t>Батарейки LR-3/AAA/1,5VA</t>
  </si>
  <si>
    <t>Батарейки LR-6/AA/1,5VA</t>
  </si>
  <si>
    <t>Бумага 75*75 цветная клеющаяся</t>
  </si>
  <si>
    <t>Бумага для заметок 50*38 3шт. в блитстере</t>
  </si>
  <si>
    <t xml:space="preserve">бумага для заметок 76*127 (100л.) </t>
  </si>
  <si>
    <t>Бумага для заметок 9*9*9 в черн.пластике</t>
  </si>
  <si>
    <t>Дыракол металлический на 20л.формат линейка фиксатор сереб</t>
  </si>
  <si>
    <t>Зажим 25 мм (12 шт.)</t>
  </si>
  <si>
    <t>Зажим 32 мм (12 шт.)</t>
  </si>
  <si>
    <t>Зажим 51 мм (12 шт.)</t>
  </si>
  <si>
    <t>Интернет камера Logitech 960-000737 C615, 2Mpx, USB</t>
  </si>
  <si>
    <t>Кабель 5е</t>
  </si>
  <si>
    <t>Калькулятор 12 разрядов</t>
  </si>
  <si>
    <t xml:space="preserve">Книга для входящей корреспонденции </t>
  </si>
  <si>
    <t xml:space="preserve">Книга для исходящей корреспонденции </t>
  </si>
  <si>
    <t>Книга учета</t>
  </si>
  <si>
    <t>Корзина 9л сетчатая черная</t>
  </si>
  <si>
    <t xml:space="preserve">Ластик  </t>
  </si>
  <si>
    <t>Лоток вертикальный пластиковый</t>
  </si>
  <si>
    <t>Лоток горизонталь.</t>
  </si>
  <si>
    <t>Настольный офисный набор "Classic",12 пр,вращ.черный</t>
  </si>
  <si>
    <t>Ножницы</t>
  </si>
  <si>
    <t>Пластиковые закладки (12*45)</t>
  </si>
  <si>
    <t xml:space="preserve">Привод BD-RЕ Samsung "SE-506AB/TSBD </t>
  </si>
  <si>
    <t>Разделитель А4</t>
  </si>
  <si>
    <t>Салфетка из микрофибры Fun Clean 30*30</t>
  </si>
  <si>
    <t>Свидетельство участника</t>
  </si>
  <si>
    <t xml:space="preserve">Сетевой фильтр Defender DFS-605, 6 розеток, 5 м </t>
  </si>
  <si>
    <t>Сменная пленка KX-FA52 от 21.04.10</t>
  </si>
  <si>
    <t>Тетрадь общая 96 л.</t>
  </si>
  <si>
    <t>Шпагат полипропиленовый текс 2200</t>
  </si>
  <si>
    <t>Исполнения Плана закупок товаров, работ и услуг в соответствие с бюджетом по состоянию на 01.09.2015 г.</t>
  </si>
  <si>
    <t>По бюджету запланирована расходов на сумму (кроме ФОТ) =657 077,9-434 603,9=222 474,0*5%= 11 123,7</t>
  </si>
  <si>
    <t xml:space="preserve">Итого по обучению за рубежом:  </t>
  </si>
  <si>
    <t xml:space="preserve">Итого по командировочным расходам:  </t>
  </si>
  <si>
    <t xml:space="preserve">Итого по комун.услугам и аренде:  </t>
  </si>
  <si>
    <t xml:space="preserve">Итого по представительским расходам:  </t>
  </si>
  <si>
    <t xml:space="preserve">Итого поаудиторским услугам:  </t>
  </si>
  <si>
    <t xml:space="preserve">Итого по компьютерным оборудованиям:  </t>
  </si>
  <si>
    <t>в План закупок не вошли</t>
  </si>
  <si>
    <t>План (без ФОТ)</t>
  </si>
  <si>
    <t>Итого:</t>
  </si>
  <si>
    <t>Всего:</t>
  </si>
  <si>
    <t>Ожидаемое исполнение бюджета до конца года</t>
  </si>
  <si>
    <t>Фактическое исполнение бюджета  на 01.09.15</t>
  </si>
  <si>
    <t>Общая сумма</t>
  </si>
  <si>
    <t>План (без пунктов 1,2,3,4,5)</t>
  </si>
  <si>
    <t>Амортизация</t>
  </si>
  <si>
    <t>Членский взнос в IADI</t>
  </si>
  <si>
    <t>Соц выплата</t>
  </si>
  <si>
    <t>Членский взнос АФК</t>
  </si>
  <si>
    <t>Налоги (включая НДС)</t>
  </si>
  <si>
    <t>Экономия (+), перерасход (-)</t>
  </si>
  <si>
    <t>Ответственный руководитель подразделения</t>
  </si>
  <si>
    <t>АХО Доненбаева Э.А.</t>
  </si>
  <si>
    <t>ИТ Тындыбаев М.</t>
  </si>
  <si>
    <t>АХО Доненбаева Э,</t>
  </si>
  <si>
    <t>ДАОС Сапаргали А.</t>
  </si>
  <si>
    <t>ЮД Сахариев А.Б.</t>
  </si>
  <si>
    <t>ФД Пичитаева А.А.</t>
  </si>
  <si>
    <t>ДОВГВ Сагатбекова А.</t>
  </si>
  <si>
    <t>ДОВГВ Даулетбердиев О.А.</t>
  </si>
  <si>
    <t>ДМиРДСВ  Абраманова М.</t>
  </si>
  <si>
    <t>Имидж аудит</t>
  </si>
  <si>
    <t>Проведение онлайн конференция на zakon.kz</t>
  </si>
  <si>
    <t>SMM-продвижение</t>
  </si>
  <si>
    <t>Ожидаемое исполнение бюджета  оставшиеся за 4 месяца</t>
  </si>
  <si>
    <t>Примечание</t>
  </si>
  <si>
    <t xml:space="preserve">Экономия в сумме 8 500 487,00 образовалась, в связи с тем, что не решен вопрос о переезде </t>
  </si>
  <si>
    <t>Сумма 279 552,00 тенге была перенаправлена на увеличение договора за 2014 год, но отнесены на расходы 2015 года</t>
  </si>
  <si>
    <t>Сумма 4 182 976,00 тенге была перенаправлена на увеличение договора за 2014 год, но отнесены на расходы 2015 года</t>
  </si>
  <si>
    <t>Сумма 5 387 200,00 тенге была перенаправлена на увеличение договора за 2014 год, но были отнесены на расходы 2015 года</t>
  </si>
  <si>
    <t>Сумма 510 000,00 тенге запланированная в 2014 году, а освоена  в 2015 году и  отнесены на расходы 2015 года</t>
  </si>
  <si>
    <t>Сумма 89 600,00 тенге запланированная в 2014 году, а освоена  в 2015 году и  отнесены на расходы 2015 года</t>
  </si>
  <si>
    <t>Абдраманова М. ДМиРДСВ</t>
  </si>
  <si>
    <t>Перерасход образовался, в связи с тем, что в 2014 году были приобретены и лицензия и тех.поддержка</t>
  </si>
  <si>
    <t>Экономию 75 000,00 тенге перенаправят на командировочные расходы</t>
  </si>
  <si>
    <t>Экономию 68 940,00 тенге перенаправят на командировочные расходы</t>
  </si>
  <si>
    <t>Экономию 56 600,00 тенге перенаправят на командировочные расходы</t>
  </si>
  <si>
    <t>Экономию 108 000,00 тенге перенаправят на командировочные расходы</t>
  </si>
  <si>
    <t>Экономию 109 000,00 тенге перенаправят на командировочные расходы</t>
  </si>
  <si>
    <t>Часть суммы будет перенаправлена на приобретение сувениров</t>
  </si>
  <si>
    <t>В общей сумме запланирована 844 900,00 тенге, вопрос о переезде еще не решен</t>
  </si>
  <si>
    <t>Не объявлен конкурс, если в кратчайшие сроки не объявять  конкурс,  возможно будет не освоение, в связи с тем, что договор будет переходящий и расходы будут отнесены за 2016 год.</t>
  </si>
  <si>
    <t>Конкурс будет обявлен в сентябре</t>
  </si>
  <si>
    <t>Экономию будет освоена, застраховав вновь принятого работника</t>
  </si>
  <si>
    <t>Вопрос Тындыбаеву М., будут осваивать сумму 106 165,00  до конца года</t>
  </si>
  <si>
    <t>Запланированная сумма по бюджету с НДС</t>
  </si>
  <si>
    <t xml:space="preserve">Скорректированная  сумма по бюджету с НДС </t>
  </si>
  <si>
    <t>Утвержденная сумма для закупки, тенге с НДС</t>
  </si>
  <si>
    <t>Экономию 75 000,00 тенге можно  перенаправить на командировочные расходы</t>
  </si>
  <si>
    <t>Экономию 68 940,00 тенге можно перенаправить на командировочные расходы</t>
  </si>
  <si>
    <t>Экономию 56 600,00 тенге можно перенаправить на командировочные расходы</t>
  </si>
  <si>
    <t>Экономию 108 000,00 тенге можно перенаправить на командировочные расходы</t>
  </si>
  <si>
    <t>ДОВГВ Жаныбаева А.</t>
  </si>
  <si>
    <t>Экономию 109 000,00 тенге можно перенаправить на командировочные расходы</t>
  </si>
  <si>
    <t>Экономию можно пренаправить на приобретение  сувениров</t>
  </si>
  <si>
    <t xml:space="preserve"> "National Business" не было в Казпочте</t>
  </si>
  <si>
    <t>Не объявлен конкурс, если в кратчайшие сроки не объявять  конкурс,  возможно будет не освоение, в связи с этим договор будет переходящий и расходы будут отнесены за 2016 год.</t>
  </si>
  <si>
    <t>5% по Уставу</t>
  </si>
  <si>
    <t>Ответственный руководитель подразделений</t>
  </si>
  <si>
    <t>Внесенные корректировки</t>
  </si>
  <si>
    <t>Остаток сумм, подлежащая к корректировке</t>
  </si>
  <si>
    <t>ЮД, ФД</t>
  </si>
  <si>
    <t>Перерасход образовался, в связи с тем, что в 2014 году были приобретены и лицензия и тех.поддержка, необходима сумму  скорректировать внутри статьи</t>
  </si>
  <si>
    <t xml:space="preserve">Конкурсная документация подготовлена и на визе у </t>
  </si>
  <si>
    <t>Сумму 286 309,00 не будут использовать,  можно перенаправить на командировочные расходы</t>
  </si>
  <si>
    <t>АХО</t>
  </si>
  <si>
    <t>Заключим доп.соглашение на уменьшение суммы договора</t>
  </si>
  <si>
    <t>Ожидается увеличение суммы за счет уменьшение сумм "Услуга по ведению  счета в АО "Центральной депозитарий"</t>
  </si>
  <si>
    <t>№ 44 от 23 июня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</si>
</sst>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"/>
    <numFmt numFmtId="167" formatCode="00"/>
    <numFmt numFmtId="168" formatCode="0.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5">
    <xf numFmtId="0" fontId="0" fillId="0" borderId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167" fontId="8" fillId="0" borderId="19">
      <alignment horizontal="center" vertical="top" wrapText="1"/>
    </xf>
    <xf numFmtId="1" fontId="8" fillId="0" borderId="0">
      <alignment horizontal="center" vertical="top" wrapText="1"/>
    </xf>
    <xf numFmtId="166" fontId="8" fillId="0" borderId="19">
      <alignment horizontal="center" vertical="top" wrapText="1"/>
    </xf>
    <xf numFmtId="166" fontId="8" fillId="0" borderId="19">
      <alignment horizontal="center" vertical="top" wrapText="1"/>
    </xf>
    <xf numFmtId="166" fontId="8" fillId="0" borderId="19">
      <alignment horizontal="center" vertical="top" wrapText="1"/>
    </xf>
    <xf numFmtId="1" fontId="8" fillId="0" borderId="0">
      <alignment horizontal="center" vertical="top" wrapText="1"/>
    </xf>
    <xf numFmtId="167" fontId="8" fillId="0" borderId="0">
      <alignment horizontal="center" vertical="top" wrapText="1"/>
    </xf>
    <xf numFmtId="166" fontId="8" fillId="0" borderId="0">
      <alignment horizontal="center" vertical="top" wrapText="1"/>
    </xf>
    <xf numFmtId="166" fontId="8" fillId="0" borderId="0">
      <alignment horizontal="center" vertical="top" wrapText="1"/>
    </xf>
    <xf numFmtId="166" fontId="8" fillId="0" borderId="0">
      <alignment horizontal="center" vertical="top" wrapText="1"/>
    </xf>
    <xf numFmtId="0" fontId="8" fillId="0" borderId="0">
      <alignment horizontal="left" vertical="top" wrapText="1"/>
    </xf>
    <xf numFmtId="0" fontId="8" fillId="0" borderId="0">
      <alignment horizontal="left" vertical="top" wrapText="1"/>
    </xf>
    <xf numFmtId="0" fontId="8" fillId="0" borderId="19">
      <alignment horizontal="left" vertical="top"/>
    </xf>
    <xf numFmtId="0" fontId="8" fillId="0" borderId="20">
      <alignment horizontal="center" vertical="top" wrapText="1"/>
    </xf>
    <xf numFmtId="0" fontId="8" fillId="0" borderId="0">
      <alignment horizontal="left" vertical="top"/>
    </xf>
    <xf numFmtId="0" fontId="8" fillId="0" borderId="18">
      <alignment horizontal="left" vertical="top"/>
    </xf>
    <xf numFmtId="0" fontId="12" fillId="4" borderId="19">
      <alignment horizontal="left" vertical="top" wrapText="1"/>
    </xf>
    <xf numFmtId="0" fontId="12" fillId="4" borderId="19">
      <alignment horizontal="left" vertical="top" wrapText="1"/>
    </xf>
    <xf numFmtId="0" fontId="9" fillId="0" borderId="19">
      <alignment horizontal="left" vertical="top" wrapText="1"/>
    </xf>
    <xf numFmtId="0" fontId="8" fillId="0" borderId="19">
      <alignment horizontal="left" vertical="top" wrapText="1"/>
    </xf>
    <xf numFmtId="0" fontId="13" fillId="0" borderId="19">
      <alignment horizontal="left" vertical="top" wrapText="1"/>
    </xf>
    <xf numFmtId="0" fontId="14" fillId="0" borderId="0"/>
    <xf numFmtId="0" fontId="16" fillId="0" borderId="0"/>
    <xf numFmtId="0" fontId="4" fillId="0" borderId="0"/>
    <xf numFmtId="0" fontId="10" fillId="0" borderId="0">
      <alignment horizontal="center" vertical="top"/>
    </xf>
    <xf numFmtId="0" fontId="8" fillId="0" borderId="21">
      <alignment horizontal="center" textRotation="90" wrapText="1"/>
    </xf>
    <xf numFmtId="0" fontId="8" fillId="0" borderId="21">
      <alignment horizontal="center" vertical="center" wrapText="1"/>
    </xf>
    <xf numFmtId="1" fontId="11" fillId="0" borderId="0">
      <alignment horizontal="center" vertical="top" wrapText="1"/>
    </xf>
    <xf numFmtId="167" fontId="11" fillId="0" borderId="19">
      <alignment horizontal="center" vertical="top" wrapText="1"/>
    </xf>
    <xf numFmtId="166" fontId="11" fillId="0" borderId="19">
      <alignment horizontal="center" vertical="top" wrapText="1"/>
    </xf>
    <xf numFmtId="166" fontId="11" fillId="0" borderId="19">
      <alignment horizontal="center" vertical="top" wrapText="1"/>
    </xf>
    <xf numFmtId="166" fontId="11" fillId="0" borderId="19">
      <alignment horizontal="center" vertical="top" wrapText="1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55">
    <xf numFmtId="0" fontId="0" fillId="0" borderId="0" xfId="0"/>
    <xf numFmtId="0" fontId="3" fillId="0" borderId="0" xfId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locked="0"/>
    </xf>
    <xf numFmtId="49" fontId="3" fillId="0" borderId="0" xfId="1" applyNumberFormat="1" applyFont="1" applyAlignment="1" applyProtection="1">
      <alignment horizontal="center"/>
      <protection locked="0"/>
    </xf>
    <xf numFmtId="0" fontId="18" fillId="0" borderId="0" xfId="0" applyFont="1"/>
    <xf numFmtId="0" fontId="18" fillId="3" borderId="0" xfId="0" applyFont="1" applyFill="1"/>
    <xf numFmtId="0" fontId="18" fillId="3" borderId="0" xfId="0" applyFont="1" applyFill="1" applyAlignment="1">
      <alignment horizontal="center" vertical="center"/>
    </xf>
    <xf numFmtId="0" fontId="18" fillId="5" borderId="0" xfId="0" applyFont="1" applyFill="1"/>
    <xf numFmtId="0" fontId="0" fillId="0" borderId="0" xfId="0" applyBorder="1"/>
    <xf numFmtId="0" fontId="18" fillId="0" borderId="0" xfId="0" applyFont="1" applyFill="1"/>
    <xf numFmtId="0" fontId="22" fillId="3" borderId="12" xfId="1" applyFont="1" applyFill="1" applyBorder="1" applyAlignment="1" applyProtection="1">
      <alignment horizontal="center" vertical="center"/>
      <protection locked="0"/>
    </xf>
    <xf numFmtId="0" fontId="22" fillId="3" borderId="10" xfId="1" applyFont="1" applyFill="1" applyBorder="1" applyAlignment="1" applyProtection="1">
      <alignment horizontal="center" vertical="center" wrapText="1"/>
      <protection locked="0"/>
    </xf>
    <xf numFmtId="49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22" fillId="3" borderId="10" xfId="1" applyFont="1" applyFill="1" applyBorder="1" applyAlignment="1" applyProtection="1">
      <alignment horizontal="center" vertical="center"/>
      <protection locked="0"/>
    </xf>
    <xf numFmtId="49" fontId="22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22" fillId="3" borderId="10" xfId="1" applyFont="1" applyFill="1" applyBorder="1" applyAlignment="1" applyProtection="1">
      <alignment horizontal="center" vertical="center" wrapText="1"/>
      <protection hidden="1"/>
    </xf>
    <xf numFmtId="2" fontId="22" fillId="3" borderId="10" xfId="1" applyNumberFormat="1" applyFont="1" applyFill="1" applyBorder="1" applyAlignment="1" applyProtection="1">
      <alignment horizontal="center" vertical="center"/>
      <protection locked="0"/>
    </xf>
    <xf numFmtId="4" fontId="22" fillId="3" borderId="10" xfId="1" applyNumberFormat="1" applyFont="1" applyFill="1" applyBorder="1" applyAlignment="1" applyProtection="1">
      <alignment horizontal="center" vertical="center"/>
      <protection locked="0"/>
    </xf>
    <xf numFmtId="4" fontId="22" fillId="3" borderId="10" xfId="1" applyNumberFormat="1" applyFont="1" applyFill="1" applyBorder="1" applyAlignment="1" applyProtection="1">
      <alignment horizontal="center" vertical="center"/>
      <protection hidden="1"/>
    </xf>
    <xf numFmtId="0" fontId="22" fillId="3" borderId="13" xfId="1" applyFont="1" applyFill="1" applyBorder="1" applyAlignment="1" applyProtection="1">
      <alignment horizontal="center" vertical="center"/>
      <protection locked="0"/>
    </xf>
    <xf numFmtId="49" fontId="2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1" applyFont="1" applyFill="1" applyBorder="1" applyAlignment="1" applyProtection="1">
      <alignment horizontal="center" vertical="center" wrapText="1"/>
      <protection locked="0"/>
    </xf>
    <xf numFmtId="0" fontId="22" fillId="0" borderId="10" xfId="1" applyFont="1" applyFill="1" applyBorder="1" applyAlignment="1" applyProtection="1">
      <alignment horizontal="center" vertical="center"/>
      <protection locked="0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2" fontId="22" fillId="0" borderId="10" xfId="1" applyNumberFormat="1" applyFont="1" applyFill="1" applyBorder="1" applyAlignment="1" applyProtection="1">
      <alignment horizontal="center" vertical="center"/>
      <protection locked="0"/>
    </xf>
    <xf numFmtId="4" fontId="22" fillId="0" borderId="10" xfId="1" applyNumberFormat="1" applyFont="1" applyFill="1" applyBorder="1" applyAlignment="1" applyProtection="1">
      <alignment horizontal="center" vertical="center"/>
      <protection locked="0"/>
    </xf>
    <xf numFmtId="4" fontId="22" fillId="0" borderId="10" xfId="1" applyNumberFormat="1" applyFont="1" applyFill="1" applyBorder="1" applyAlignment="1" applyProtection="1">
      <alignment horizontal="center" vertical="center"/>
      <protection hidden="1"/>
    </xf>
    <xf numFmtId="49" fontId="22" fillId="0" borderId="10" xfId="1" applyNumberFormat="1" applyFont="1" applyFill="1" applyBorder="1" applyAlignment="1" applyProtection="1">
      <alignment horizontal="center" vertical="center"/>
      <protection locked="0"/>
    </xf>
    <xf numFmtId="0" fontId="22" fillId="0" borderId="13" xfId="1" applyFont="1" applyFill="1" applyBorder="1" applyAlignment="1" applyProtection="1">
      <alignment horizontal="center" vertical="center"/>
      <protection locked="0"/>
    </xf>
    <xf numFmtId="0" fontId="22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10" xfId="68" applyFont="1" applyFill="1" applyBorder="1" applyAlignment="1">
      <alignment horizontal="center" vertical="center" wrapText="1"/>
    </xf>
    <xf numFmtId="0" fontId="22" fillId="3" borderId="10" xfId="0" applyFont="1" applyFill="1" applyBorder="1" applyAlignment="1" applyProtection="1">
      <alignment horizontal="center" vertical="center" wrapText="1"/>
      <protection locked="0"/>
    </xf>
    <xf numFmtId="49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 wrapText="1"/>
      <protection hidden="1"/>
    </xf>
    <xf numFmtId="2" fontId="22" fillId="3" borderId="10" xfId="0" applyNumberFormat="1" applyFont="1" applyFill="1" applyBorder="1" applyAlignment="1" applyProtection="1">
      <alignment horizontal="center" vertical="center"/>
      <protection locked="0"/>
    </xf>
    <xf numFmtId="4" fontId="22" fillId="3" borderId="10" xfId="0" applyNumberFormat="1" applyFont="1" applyFill="1" applyBorder="1" applyAlignment="1" applyProtection="1">
      <alignment horizontal="center" vertical="center"/>
      <protection locked="0"/>
    </xf>
    <xf numFmtId="4" fontId="22" fillId="3" borderId="10" xfId="0" applyNumberFormat="1" applyFont="1" applyFill="1" applyBorder="1" applyAlignment="1" applyProtection="1">
      <alignment horizontal="center" vertical="center"/>
      <protection hidden="1"/>
    </xf>
    <xf numFmtId="0" fontId="24" fillId="3" borderId="10" xfId="1" applyFont="1" applyFill="1" applyBorder="1" applyAlignment="1" applyProtection="1">
      <alignment horizontal="center"/>
      <protection locked="0"/>
    </xf>
    <xf numFmtId="49" fontId="2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10" xfId="2" applyFont="1" applyFill="1" applyBorder="1" applyAlignment="1">
      <alignment horizontal="center" vertical="center" wrapText="1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2" fontId="22" fillId="0" borderId="10" xfId="0" applyNumberFormat="1" applyFont="1" applyFill="1" applyBorder="1" applyAlignment="1" applyProtection="1">
      <alignment horizontal="center" vertical="center"/>
      <protection locked="0"/>
    </xf>
    <xf numFmtId="4" fontId="22" fillId="0" borderId="10" xfId="0" applyNumberFormat="1" applyFont="1" applyFill="1" applyBorder="1" applyAlignment="1" applyProtection="1">
      <alignment horizontal="center" vertical="center"/>
      <protection locked="0"/>
    </xf>
    <xf numFmtId="4" fontId="22" fillId="0" borderId="10" xfId="0" applyNumberFormat="1" applyFont="1" applyFill="1" applyBorder="1" applyAlignment="1" applyProtection="1">
      <alignment horizontal="center" vertical="center"/>
      <protection hidden="1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49" fontId="7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2" applyFont="1" applyFill="1" applyBorder="1" applyAlignment="1" applyProtection="1">
      <alignment horizontal="center" vertical="center" wrapText="1"/>
      <protection locked="0"/>
    </xf>
    <xf numFmtId="49" fontId="7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23" xfId="0" applyBorder="1"/>
    <xf numFmtId="4" fontId="22" fillId="5" borderId="10" xfId="1" applyNumberFormat="1" applyFont="1" applyFill="1" applyBorder="1" applyAlignment="1" applyProtection="1">
      <alignment horizontal="center" vertical="center"/>
      <protection locked="0"/>
    </xf>
    <xf numFmtId="49" fontId="2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wrapText="1"/>
    </xf>
    <xf numFmtId="49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9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49" fontId="5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22" fillId="3" borderId="23" xfId="0" applyFont="1" applyFill="1" applyBorder="1" applyAlignment="1" applyProtection="1">
      <alignment horizontal="center" vertical="center" wrapText="1"/>
      <protection hidden="1"/>
    </xf>
    <xf numFmtId="0" fontId="22" fillId="3" borderId="23" xfId="1" applyFont="1" applyFill="1" applyBorder="1" applyAlignment="1" applyProtection="1">
      <alignment horizontal="center" vertical="center" wrapText="1"/>
      <protection locked="0"/>
    </xf>
    <xf numFmtId="0" fontId="22" fillId="3" borderId="23" xfId="0" applyFont="1" applyFill="1" applyBorder="1" applyAlignment="1" applyProtection="1">
      <alignment horizontal="center" vertical="center" wrapText="1"/>
      <protection locked="0"/>
    </xf>
    <xf numFmtId="4" fontId="22" fillId="3" borderId="23" xfId="0" applyNumberFormat="1" applyFont="1" applyFill="1" applyBorder="1" applyAlignment="1" applyProtection="1">
      <alignment horizontal="center" vertical="center"/>
      <protection locked="0"/>
    </xf>
    <xf numFmtId="0" fontId="18" fillId="3" borderId="23" xfId="0" applyFont="1" applyFill="1" applyBorder="1"/>
    <xf numFmtId="49" fontId="22" fillId="3" borderId="23" xfId="0" applyNumberFormat="1" applyFont="1" applyFill="1" applyBorder="1" applyAlignment="1" applyProtection="1">
      <alignment horizontal="center" vertical="center"/>
      <protection locked="0"/>
    </xf>
    <xf numFmtId="0" fontId="22" fillId="3" borderId="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2" fillId="0" borderId="10" xfId="68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/>
    <xf numFmtId="0" fontId="5" fillId="2" borderId="13" xfId="2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left"/>
    </xf>
    <xf numFmtId="0" fontId="5" fillId="2" borderId="14" xfId="2" applyFont="1" applyFill="1" applyBorder="1" applyAlignment="1" applyProtection="1">
      <alignment horizontal="center" vertical="center" wrapText="1"/>
      <protection locked="0"/>
    </xf>
    <xf numFmtId="0" fontId="5" fillId="2" borderId="15" xfId="2" applyFont="1" applyFill="1" applyBorder="1" applyAlignment="1" applyProtection="1">
      <alignment horizontal="center" vertical="center" wrapText="1"/>
      <protection locked="0"/>
    </xf>
    <xf numFmtId="4" fontId="5" fillId="2" borderId="15" xfId="2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4" fillId="0" borderId="0" xfId="0" applyFont="1" applyFill="1"/>
    <xf numFmtId="0" fontId="34" fillId="0" borderId="0" xfId="0" applyFont="1"/>
    <xf numFmtId="49" fontId="32" fillId="0" borderId="28" xfId="1" applyNumberFormat="1" applyFont="1" applyFill="1" applyBorder="1" applyAlignment="1" applyProtection="1">
      <alignment horizontal="center" vertical="center"/>
      <protection locked="0"/>
    </xf>
    <xf numFmtId="4" fontId="22" fillId="5" borderId="10" xfId="0" applyNumberFormat="1" applyFont="1" applyFill="1" applyBorder="1" applyAlignment="1" applyProtection="1">
      <alignment horizontal="center" vertical="center"/>
      <protection locked="0"/>
    </xf>
    <xf numFmtId="4" fontId="22" fillId="5" borderId="10" xfId="1" applyNumberFormat="1" applyFont="1" applyFill="1" applyBorder="1" applyAlignment="1" applyProtection="1">
      <alignment horizontal="center" vertical="center"/>
      <protection hidden="1"/>
    </xf>
    <xf numFmtId="4" fontId="34" fillId="0" borderId="0" xfId="0" applyNumberFormat="1" applyFont="1" applyFill="1"/>
    <xf numFmtId="0" fontId="5" fillId="2" borderId="15" xfId="2" applyFont="1" applyFill="1" applyBorder="1" applyAlignment="1" applyProtection="1">
      <alignment horizontal="center" vertical="center" wrapText="1"/>
      <protection hidden="1"/>
    </xf>
    <xf numFmtId="1" fontId="5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1" applyFont="1" applyFill="1" applyBorder="1" applyAlignment="1" applyProtection="1">
      <alignment horizontal="center" vertical="center" wrapText="1"/>
      <protection hidden="1"/>
    </xf>
    <xf numFmtId="2" fontId="22" fillId="0" borderId="7" xfId="1" applyNumberFormat="1" applyFont="1" applyFill="1" applyBorder="1" applyAlignment="1" applyProtection="1">
      <alignment horizontal="center" vertical="center"/>
      <protection locked="0"/>
    </xf>
    <xf numFmtId="4" fontId="22" fillId="0" borderId="7" xfId="1" applyNumberFormat="1" applyFont="1" applyFill="1" applyBorder="1" applyAlignment="1" applyProtection="1">
      <alignment horizontal="center" vertical="center"/>
      <protection hidden="1"/>
    </xf>
    <xf numFmtId="4" fontId="22" fillId="0" borderId="33" xfId="1" applyNumberFormat="1" applyFont="1" applyFill="1" applyBorder="1" applyAlignment="1" applyProtection="1">
      <alignment horizontal="center" vertical="center"/>
      <protection hidden="1"/>
    </xf>
    <xf numFmtId="49" fontId="32" fillId="0" borderId="34" xfId="1" applyNumberFormat="1" applyFont="1" applyFill="1" applyBorder="1" applyAlignment="1" applyProtection="1">
      <alignment horizontal="center" vertical="center"/>
      <protection locked="0"/>
    </xf>
    <xf numFmtId="0" fontId="32" fillId="0" borderId="8" xfId="1" applyFont="1" applyFill="1" applyBorder="1" applyAlignment="1" applyProtection="1">
      <alignment horizontal="center" vertical="center"/>
      <protection locked="0"/>
    </xf>
    <xf numFmtId="4" fontId="22" fillId="0" borderId="28" xfId="0" applyNumberFormat="1" applyFont="1" applyFill="1" applyBorder="1" applyAlignment="1" applyProtection="1">
      <alignment horizontal="center" vertical="center"/>
      <protection hidden="1"/>
    </xf>
    <xf numFmtId="4" fontId="22" fillId="0" borderId="28" xfId="1" applyNumberFormat="1" applyFont="1" applyFill="1" applyBorder="1" applyAlignment="1" applyProtection="1">
      <alignment horizontal="center" vertical="center"/>
      <protection hidden="1"/>
    </xf>
    <xf numFmtId="4" fontId="22" fillId="0" borderId="34" xfId="1" applyNumberFormat="1" applyFont="1" applyFill="1" applyBorder="1" applyAlignment="1" applyProtection="1">
      <alignment horizontal="center" vertical="center"/>
      <protection hidden="1"/>
    </xf>
    <xf numFmtId="4" fontId="22" fillId="0" borderId="15" xfId="1" applyNumberFormat="1" applyFont="1" applyFill="1" applyBorder="1" applyAlignment="1" applyProtection="1">
      <alignment horizontal="center" vertical="center"/>
      <protection hidden="1"/>
    </xf>
    <xf numFmtId="0" fontId="22" fillId="0" borderId="12" xfId="1" applyFont="1" applyFill="1" applyBorder="1" applyAlignment="1" applyProtection="1">
      <alignment horizontal="center" vertical="center"/>
      <protection locked="0"/>
    </xf>
    <xf numFmtId="4" fontId="22" fillId="0" borderId="23" xfId="1" applyNumberFormat="1" applyFont="1" applyFill="1" applyBorder="1" applyAlignment="1" applyProtection="1">
      <alignment horizontal="center" vertical="center"/>
      <protection hidden="1"/>
    </xf>
    <xf numFmtId="4" fontId="20" fillId="0" borderId="0" xfId="0" applyNumberFormat="1" applyFont="1" applyFill="1"/>
    <xf numFmtId="4" fontId="18" fillId="3" borderId="0" xfId="0" applyNumberFormat="1" applyFont="1" applyFill="1" applyAlignment="1">
      <alignment horizontal="center" vertical="center"/>
    </xf>
    <xf numFmtId="49" fontId="22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22" fillId="5" borderId="10" xfId="1" applyFont="1" applyFill="1" applyBorder="1" applyAlignment="1" applyProtection="1">
      <alignment horizontal="center" vertical="center" wrapText="1"/>
      <protection locked="0"/>
    </xf>
    <xf numFmtId="0" fontId="22" fillId="5" borderId="10" xfId="1" applyFont="1" applyFill="1" applyBorder="1" applyAlignment="1" applyProtection="1">
      <alignment horizontal="center" vertical="center" wrapText="1"/>
      <protection hidden="1"/>
    </xf>
    <xf numFmtId="2" fontId="22" fillId="5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/>
    <xf numFmtId="0" fontId="34" fillId="0" borderId="36" xfId="0" applyFont="1" applyFill="1" applyBorder="1"/>
    <xf numFmtId="0" fontId="20" fillId="0" borderId="4" xfId="0" applyFont="1" applyFill="1" applyBorder="1" applyAlignment="1">
      <alignment horizontal="left"/>
    </xf>
    <xf numFmtId="0" fontId="20" fillId="0" borderId="4" xfId="0" applyFont="1" applyBorder="1" applyAlignment="1">
      <alignment horizontal="left"/>
    </xf>
    <xf numFmtId="4" fontId="22" fillId="0" borderId="7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33" xfId="0" applyFont="1" applyFill="1" applyBorder="1" applyAlignment="1" applyProtection="1">
      <alignment horizontal="left" vertical="center" wrapText="1"/>
      <protection hidden="1"/>
    </xf>
    <xf numFmtId="0" fontId="22" fillId="0" borderId="7" xfId="0" applyFont="1" applyFill="1" applyBorder="1" applyAlignment="1" applyProtection="1">
      <alignment horizontal="left" vertical="center" wrapText="1"/>
      <protection hidden="1"/>
    </xf>
    <xf numFmtId="0" fontId="22" fillId="0" borderId="10" xfId="0" applyFont="1" applyFill="1" applyBorder="1" applyAlignment="1" applyProtection="1">
      <alignment horizontal="left" vertical="center" wrapText="1"/>
      <protection hidden="1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Font="1"/>
    <xf numFmtId="4" fontId="5" fillId="2" borderId="16" xfId="2" applyNumberFormat="1" applyFont="1" applyFill="1" applyBorder="1" applyAlignment="1" applyProtection="1">
      <alignment horizontal="center" vertical="center" wrapText="1"/>
      <protection hidden="1"/>
    </xf>
    <xf numFmtId="4" fontId="22" fillId="0" borderId="13" xfId="1" applyNumberFormat="1" applyFont="1" applyFill="1" applyBorder="1" applyAlignment="1" applyProtection="1">
      <alignment horizontal="center" vertical="center"/>
      <protection hidden="1"/>
    </xf>
    <xf numFmtId="0" fontId="22" fillId="0" borderId="42" xfId="1" applyFont="1" applyFill="1" applyBorder="1" applyAlignment="1" applyProtection="1">
      <alignment horizontal="center" vertical="center"/>
      <protection locked="0"/>
    </xf>
    <xf numFmtId="4" fontId="22" fillId="0" borderId="8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1" fontId="5" fillId="2" borderId="44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" fontId="21" fillId="0" borderId="10" xfId="0" applyNumberFormat="1" applyFont="1" applyBorder="1" applyAlignment="1">
      <alignment horizontal="right"/>
    </xf>
    <xf numFmtId="4" fontId="22" fillId="0" borderId="10" xfId="1" applyNumberFormat="1" applyFont="1" applyFill="1" applyBorder="1" applyAlignment="1" applyProtection="1">
      <alignment horizontal="right" vertical="center"/>
      <protection hidden="1"/>
    </xf>
    <xf numFmtId="49" fontId="22" fillId="3" borderId="10" xfId="1" applyNumberFormat="1" applyFont="1" applyFill="1" applyBorder="1" applyAlignment="1" applyProtection="1">
      <alignment horizontal="left" vertical="center" wrapText="1"/>
      <protection locked="0"/>
    </xf>
    <xf numFmtId="0" fontId="22" fillId="3" borderId="10" xfId="0" applyNumberFormat="1" applyFont="1" applyFill="1" applyBorder="1" applyAlignment="1" applyProtection="1">
      <alignment horizontal="left" vertical="center" wrapText="1"/>
      <protection hidden="1"/>
    </xf>
    <xf numFmtId="49" fontId="22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10" xfId="2" applyFont="1" applyFill="1" applyBorder="1" applyAlignment="1">
      <alignment horizontal="left" vertical="center" wrapText="1"/>
    </xf>
    <xf numFmtId="168" fontId="23" fillId="3" borderId="10" xfId="68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9" fontId="22" fillId="0" borderId="28" xfId="0" applyNumberFormat="1" applyFont="1" applyFill="1" applyBorder="1" applyAlignment="1" applyProtection="1">
      <alignment horizontal="center" vertical="center"/>
      <protection locked="0"/>
    </xf>
    <xf numFmtId="49" fontId="22" fillId="0" borderId="34" xfId="1" applyNumberFormat="1" applyFont="1" applyFill="1" applyBorder="1" applyAlignment="1" applyProtection="1">
      <alignment horizontal="center" vertical="center"/>
      <protection locked="0"/>
    </xf>
    <xf numFmtId="0" fontId="22" fillId="0" borderId="8" xfId="1" applyFont="1" applyFill="1" applyBorder="1" applyAlignment="1" applyProtection="1">
      <alignment horizontal="center" vertical="center"/>
      <protection locked="0"/>
    </xf>
    <xf numFmtId="0" fontId="22" fillId="0" borderId="46" xfId="1" applyFont="1" applyFill="1" applyBorder="1" applyAlignment="1" applyProtection="1">
      <alignment horizontal="center" vertical="center"/>
      <protection locked="0"/>
    </xf>
    <xf numFmtId="0" fontId="22" fillId="2" borderId="46" xfId="1" applyFont="1" applyFill="1" applyBorder="1" applyAlignment="1" applyProtection="1">
      <alignment horizontal="center" vertical="center"/>
      <protection locked="0"/>
    </xf>
    <xf numFmtId="0" fontId="22" fillId="3" borderId="47" xfId="1" applyFont="1" applyFill="1" applyBorder="1" applyAlignment="1" applyProtection="1">
      <alignment horizontal="center" vertical="center"/>
      <protection locked="0"/>
    </xf>
    <xf numFmtId="0" fontId="22" fillId="2" borderId="31" xfId="1" applyFont="1" applyFill="1" applyBorder="1" applyAlignment="1" applyProtection="1">
      <alignment horizontal="center" vertical="center"/>
      <protection locked="0"/>
    </xf>
    <xf numFmtId="49" fontId="22" fillId="0" borderId="49" xfId="1" applyNumberFormat="1" applyFont="1" applyFill="1" applyBorder="1" applyAlignment="1" applyProtection="1">
      <alignment horizontal="left" vertical="center" wrapText="1"/>
      <protection locked="0"/>
    </xf>
    <xf numFmtId="0" fontId="22" fillId="3" borderId="49" xfId="0" applyFont="1" applyFill="1" applyBorder="1" applyAlignment="1" applyProtection="1">
      <alignment horizontal="left" vertical="center" wrapText="1"/>
      <protection hidden="1"/>
    </xf>
    <xf numFmtId="0" fontId="22" fillId="3" borderId="18" xfId="0" applyFont="1" applyFill="1" applyBorder="1" applyAlignment="1" applyProtection="1">
      <alignment horizontal="left" vertical="center" wrapText="1"/>
      <protection hidden="1"/>
    </xf>
    <xf numFmtId="4" fontId="22" fillId="0" borderId="44" xfId="1" applyNumberFormat="1" applyFont="1" applyFill="1" applyBorder="1" applyAlignment="1" applyProtection="1">
      <alignment horizontal="center" vertical="center"/>
      <protection hidden="1"/>
    </xf>
    <xf numFmtId="4" fontId="22" fillId="0" borderId="46" xfId="1" applyNumberFormat="1" applyFont="1" applyFill="1" applyBorder="1" applyAlignment="1" applyProtection="1">
      <alignment horizontal="center" vertical="center"/>
      <protection hidden="1"/>
    </xf>
    <xf numFmtId="4" fontId="5" fillId="2" borderId="46" xfId="1" applyNumberFormat="1" applyFont="1" applyFill="1" applyBorder="1" applyAlignment="1" applyProtection="1">
      <alignment horizontal="center" vertical="center"/>
      <protection hidden="1"/>
    </xf>
    <xf numFmtId="4" fontId="22" fillId="0" borderId="47" xfId="1" applyNumberFormat="1" applyFont="1" applyFill="1" applyBorder="1" applyAlignment="1" applyProtection="1">
      <alignment horizontal="center" vertical="center"/>
      <protection hidden="1"/>
    </xf>
    <xf numFmtId="4" fontId="22" fillId="0" borderId="49" xfId="1" applyNumberFormat="1" applyFont="1" applyFill="1" applyBorder="1" applyAlignment="1" applyProtection="1">
      <alignment horizontal="center" vertical="center"/>
      <protection hidden="1"/>
    </xf>
    <xf numFmtId="4" fontId="5" fillId="2" borderId="49" xfId="1" applyNumberFormat="1" applyFont="1" applyFill="1" applyBorder="1" applyAlignment="1" applyProtection="1">
      <alignment horizontal="center" vertical="center"/>
      <protection hidden="1"/>
    </xf>
    <xf numFmtId="4" fontId="23" fillId="0" borderId="46" xfId="1" applyNumberFormat="1" applyFont="1" applyFill="1" applyBorder="1" applyAlignment="1" applyProtection="1">
      <alignment horizontal="center" vertical="center"/>
      <protection locked="0"/>
    </xf>
    <xf numFmtId="4" fontId="23" fillId="0" borderId="46" xfId="1" applyNumberFormat="1" applyFont="1" applyFill="1" applyBorder="1" applyAlignment="1" applyProtection="1">
      <alignment horizontal="center" vertical="center"/>
      <protection hidden="1"/>
    </xf>
    <xf numFmtId="4" fontId="38" fillId="2" borderId="46" xfId="1" applyNumberFormat="1" applyFont="1" applyFill="1" applyBorder="1" applyAlignment="1" applyProtection="1">
      <alignment horizontal="center" vertical="center"/>
      <protection hidden="1"/>
    </xf>
    <xf numFmtId="0" fontId="22" fillId="2" borderId="47" xfId="1" applyFont="1" applyFill="1" applyBorder="1" applyAlignment="1" applyProtection="1">
      <alignment horizontal="center" vertical="center"/>
      <protection locked="0"/>
    </xf>
    <xf numFmtId="4" fontId="5" fillId="2" borderId="47" xfId="1" applyNumberFormat="1" applyFont="1" applyFill="1" applyBorder="1" applyAlignment="1" applyProtection="1">
      <alignment horizontal="center" vertical="center"/>
      <protection hidden="1"/>
    </xf>
    <xf numFmtId="4" fontId="5" fillId="2" borderId="44" xfId="1" applyNumberFormat="1" applyFont="1" applyFill="1" applyBorder="1" applyAlignment="1" applyProtection="1">
      <alignment horizontal="center" vertical="center"/>
      <protection hidden="1"/>
    </xf>
    <xf numFmtId="4" fontId="38" fillId="2" borderId="47" xfId="1" applyNumberFormat="1" applyFont="1" applyFill="1" applyBorder="1" applyAlignment="1" applyProtection="1">
      <alignment horizontal="center" vertical="center"/>
      <protection hidden="1"/>
    </xf>
    <xf numFmtId="0" fontId="22" fillId="2" borderId="9" xfId="1" applyFont="1" applyFill="1" applyBorder="1" applyAlignment="1" applyProtection="1">
      <alignment horizontal="center" vertical="center"/>
      <protection locked="0"/>
    </xf>
    <xf numFmtId="4" fontId="5" fillId="2" borderId="9" xfId="1" applyNumberFormat="1" applyFont="1" applyFill="1" applyBorder="1" applyAlignment="1" applyProtection="1">
      <alignment horizontal="center" vertical="center"/>
      <protection hidden="1"/>
    </xf>
    <xf numFmtId="4" fontId="5" fillId="2" borderId="11" xfId="1" applyNumberFormat="1" applyFont="1" applyFill="1" applyBorder="1" applyAlignment="1" applyProtection="1">
      <alignment horizontal="center" vertical="center"/>
      <protection hidden="1"/>
    </xf>
    <xf numFmtId="4" fontId="38" fillId="2" borderId="9" xfId="1" applyNumberFormat="1" applyFont="1" applyFill="1" applyBorder="1" applyAlignment="1" applyProtection="1">
      <alignment horizontal="center" vertical="center"/>
      <protection hidden="1"/>
    </xf>
    <xf numFmtId="0" fontId="39" fillId="2" borderId="11" xfId="0" applyFont="1" applyFill="1" applyBorder="1" applyAlignment="1" applyProtection="1">
      <alignment horizontal="center" vertical="center" wrapText="1"/>
      <protection hidden="1"/>
    </xf>
    <xf numFmtId="0" fontId="39" fillId="2" borderId="44" xfId="0" applyFont="1" applyFill="1" applyBorder="1" applyAlignment="1" applyProtection="1">
      <alignment horizontal="left" vertical="center" wrapText="1"/>
      <protection hidden="1"/>
    </xf>
    <xf numFmtId="0" fontId="39" fillId="2" borderId="49" xfId="0" applyFont="1" applyFill="1" applyBorder="1" applyAlignment="1" applyProtection="1">
      <alignment horizontal="left" vertical="center" wrapText="1"/>
      <protection hidden="1"/>
    </xf>
    <xf numFmtId="0" fontId="22" fillId="0" borderId="52" xfId="1" applyFont="1" applyFill="1" applyBorder="1" applyAlignment="1" applyProtection="1">
      <alignment horizontal="center" vertical="center"/>
      <protection locked="0"/>
    </xf>
    <xf numFmtId="0" fontId="22" fillId="3" borderId="46" xfId="1" applyFont="1" applyFill="1" applyBorder="1" applyAlignment="1" applyProtection="1">
      <alignment horizontal="center" vertical="center"/>
      <protection locked="0"/>
    </xf>
    <xf numFmtId="4" fontId="5" fillId="2" borderId="31" xfId="2" applyNumberFormat="1" applyFont="1" applyFill="1" applyBorder="1" applyAlignment="1" applyProtection="1">
      <alignment horizontal="center" vertical="center" wrapText="1"/>
      <protection locked="0"/>
    </xf>
    <xf numFmtId="49" fontId="22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Alignment="1" applyProtection="1">
      <alignment horizontal="left" vertical="center" wrapText="1"/>
      <protection hidden="1"/>
    </xf>
    <xf numFmtId="0" fontId="22" fillId="3" borderId="44" xfId="0" applyFont="1" applyFill="1" applyBorder="1" applyAlignment="1" applyProtection="1">
      <alignment horizontal="left" vertical="center" wrapText="1"/>
      <protection hidden="1"/>
    </xf>
    <xf numFmtId="4" fontId="22" fillId="0" borderId="45" xfId="1" applyNumberFormat="1" applyFont="1" applyFill="1" applyBorder="1" applyAlignment="1" applyProtection="1">
      <alignment horizontal="center" vertical="center"/>
      <protection hidden="1"/>
    </xf>
    <xf numFmtId="4" fontId="22" fillId="0" borderId="0" xfId="1" applyNumberFormat="1" applyFont="1" applyFill="1" applyBorder="1" applyAlignment="1" applyProtection="1">
      <alignment horizontal="center" vertical="center"/>
      <protection hidden="1"/>
    </xf>
    <xf numFmtId="4" fontId="22" fillId="0" borderId="52" xfId="1" applyNumberFormat="1" applyFont="1" applyFill="1" applyBorder="1" applyAlignment="1" applyProtection="1">
      <alignment horizontal="center" vertical="center"/>
      <protection hidden="1"/>
    </xf>
    <xf numFmtId="4" fontId="22" fillId="0" borderId="46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40" xfId="1" applyNumberFormat="1" applyFont="1" applyFill="1" applyBorder="1" applyAlignment="1" applyProtection="1">
      <alignment horizontal="center" vertical="center"/>
      <protection hidden="1"/>
    </xf>
    <xf numFmtId="4" fontId="22" fillId="2" borderId="31" xfId="1" applyNumberFormat="1" applyFont="1" applyFill="1" applyBorder="1" applyAlignment="1" applyProtection="1">
      <alignment horizontal="center" vertical="center"/>
      <protection hidden="1"/>
    </xf>
    <xf numFmtId="4" fontId="22" fillId="0" borderId="18" xfId="1" applyNumberFormat="1" applyFont="1" applyFill="1" applyBorder="1" applyAlignment="1" applyProtection="1">
      <alignment horizontal="center" vertical="center"/>
      <protection hidden="1"/>
    </xf>
    <xf numFmtId="4" fontId="5" fillId="2" borderId="50" xfId="2" applyNumberFormat="1" applyFont="1" applyFill="1" applyBorder="1" applyAlignment="1" applyProtection="1">
      <alignment horizontal="center" vertical="center" wrapText="1"/>
      <protection locked="0"/>
    </xf>
    <xf numFmtId="4" fontId="23" fillId="0" borderId="52" xfId="1" applyNumberFormat="1" applyFont="1" applyFill="1" applyBorder="1" applyAlignment="1" applyProtection="1">
      <alignment horizontal="center" vertical="center"/>
      <protection locked="0"/>
    </xf>
    <xf numFmtId="4" fontId="23" fillId="0" borderId="47" xfId="1" applyNumberFormat="1" applyFont="1" applyFill="1" applyBorder="1" applyAlignment="1" applyProtection="1">
      <alignment horizontal="center" vertical="center"/>
      <protection hidden="1"/>
    </xf>
    <xf numFmtId="4" fontId="23" fillId="2" borderId="31" xfId="1" applyNumberFormat="1" applyFont="1" applyFill="1" applyBorder="1" applyAlignment="1" applyProtection="1">
      <alignment horizontal="center" vertical="center"/>
      <protection hidden="1"/>
    </xf>
    <xf numFmtId="0" fontId="41" fillId="2" borderId="50" xfId="0" applyFont="1" applyFill="1" applyBorder="1" applyAlignment="1" applyProtection="1">
      <alignment horizontal="center" vertical="center" wrapText="1"/>
      <protection hidden="1"/>
    </xf>
    <xf numFmtId="4" fontId="6" fillId="2" borderId="50" xfId="1" applyNumberFormat="1" applyFont="1" applyFill="1" applyBorder="1" applyAlignment="1" applyProtection="1">
      <alignment horizontal="center" vertical="center"/>
      <protection hidden="1"/>
    </xf>
    <xf numFmtId="4" fontId="20" fillId="0" borderId="4" xfId="0" applyNumberFormat="1" applyFont="1" applyFill="1" applyBorder="1" applyAlignment="1"/>
    <xf numFmtId="4" fontId="20" fillId="0" borderId="5" xfId="0" applyNumberFormat="1" applyFont="1" applyFill="1" applyBorder="1" applyAlignment="1"/>
    <xf numFmtId="4" fontId="22" fillId="2" borderId="50" xfId="1" applyNumberFormat="1" applyFont="1" applyFill="1" applyBorder="1" applyAlignment="1" applyProtection="1">
      <alignment horizontal="center" vertical="center"/>
      <protection hidden="1"/>
    </xf>
    <xf numFmtId="0" fontId="22" fillId="0" borderId="47" xfId="1" applyFont="1" applyFill="1" applyBorder="1" applyAlignment="1" applyProtection="1">
      <alignment horizontal="center" vertical="center"/>
      <protection locked="0"/>
    </xf>
    <xf numFmtId="49" fontId="22" fillId="0" borderId="44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34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45" xfId="0" applyNumberFormat="1" applyFont="1" applyFill="1" applyBorder="1" applyAlignment="1" applyProtection="1">
      <alignment horizontal="center" vertical="center"/>
      <protection hidden="1"/>
    </xf>
    <xf numFmtId="4" fontId="22" fillId="0" borderId="15" xfId="0" applyNumberFormat="1" applyFont="1" applyFill="1" applyBorder="1" applyAlignment="1" applyProtection="1">
      <alignment horizontal="center" vertical="center"/>
      <protection hidden="1"/>
    </xf>
    <xf numFmtId="49" fontId="22" fillId="0" borderId="15" xfId="1" applyNumberFormat="1" applyFont="1" applyFill="1" applyBorder="1" applyAlignment="1" applyProtection="1">
      <alignment horizontal="center" vertical="center"/>
      <protection locked="0"/>
    </xf>
    <xf numFmtId="4" fontId="5" fillId="2" borderId="9" xfId="2" applyNumberFormat="1" applyFont="1" applyFill="1" applyBorder="1" applyAlignment="1" applyProtection="1">
      <alignment horizontal="center" vertical="center" wrapText="1"/>
      <protection locked="0"/>
    </xf>
    <xf numFmtId="4" fontId="39" fillId="2" borderId="11" xfId="2" applyNumberFormat="1" applyFont="1" applyFill="1" applyBorder="1" applyAlignment="1" applyProtection="1">
      <alignment horizontal="left" vertical="center" wrapText="1"/>
      <protection locked="0"/>
    </xf>
    <xf numFmtId="4" fontId="5" fillId="2" borderId="11" xfId="2" applyNumberFormat="1" applyFont="1" applyFill="1" applyBorder="1" applyAlignment="1" applyProtection="1">
      <alignment horizontal="center" vertical="center" wrapText="1"/>
      <protection locked="0"/>
    </xf>
    <xf numFmtId="1" fontId="5" fillId="2" borderId="11" xfId="2" applyNumberFormat="1" applyFont="1" applyFill="1" applyBorder="1" applyAlignment="1" applyProtection="1">
      <alignment horizontal="center" vertical="center" wrapText="1"/>
      <protection locked="0"/>
    </xf>
    <xf numFmtId="49" fontId="31" fillId="0" borderId="17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18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30" xfId="1" applyNumberFormat="1" applyFont="1" applyFill="1" applyBorder="1" applyAlignment="1" applyProtection="1">
      <alignment horizontal="center" vertical="center"/>
      <protection hidden="1"/>
    </xf>
    <xf numFmtId="49" fontId="22" fillId="0" borderId="7" xfId="0" applyNumberFormat="1" applyFont="1" applyFill="1" applyBorder="1" applyAlignment="1" applyProtection="1">
      <alignment horizontal="center" vertical="center"/>
      <protection locked="0"/>
    </xf>
    <xf numFmtId="4" fontId="23" fillId="0" borderId="40" xfId="1" applyNumberFormat="1" applyFont="1" applyFill="1" applyBorder="1" applyAlignment="1" applyProtection="1">
      <alignment horizontal="center" vertical="center"/>
      <protection locked="0"/>
    </xf>
    <xf numFmtId="4" fontId="22" fillId="0" borderId="52" xfId="2" applyNumberFormat="1" applyFont="1" applyFill="1" applyBorder="1" applyAlignment="1" applyProtection="1">
      <alignment horizontal="center" vertical="center" wrapText="1"/>
      <protection locked="0"/>
    </xf>
    <xf numFmtId="49" fontId="22" fillId="0" borderId="45" xfId="0" applyNumberFormat="1" applyFont="1" applyFill="1" applyBorder="1" applyAlignment="1" applyProtection="1">
      <alignment horizontal="center" vertical="center"/>
      <protection locked="0"/>
    </xf>
    <xf numFmtId="4" fontId="23" fillId="0" borderId="52" xfId="1" applyNumberFormat="1" applyFont="1" applyFill="1" applyBorder="1" applyAlignment="1" applyProtection="1">
      <alignment horizontal="center" vertical="center"/>
      <protection hidden="1"/>
    </xf>
    <xf numFmtId="49" fontId="32" fillId="0" borderId="45" xfId="1" applyNumberFormat="1" applyFont="1" applyFill="1" applyBorder="1" applyAlignment="1" applyProtection="1">
      <alignment horizontal="center" vertical="center"/>
      <protection locked="0"/>
    </xf>
    <xf numFmtId="0" fontId="3" fillId="0" borderId="43" xfId="1" applyFont="1" applyBorder="1" applyAlignment="1" applyProtection="1">
      <alignment horizontal="center"/>
      <protection hidden="1"/>
    </xf>
    <xf numFmtId="0" fontId="3" fillId="0" borderId="43" xfId="1" applyFont="1" applyBorder="1" applyAlignment="1" applyProtection="1">
      <alignment horizontal="center"/>
      <protection locked="0"/>
    </xf>
    <xf numFmtId="49" fontId="3" fillId="0" borderId="43" xfId="1" applyNumberFormat="1" applyFont="1" applyBorder="1" applyAlignment="1" applyProtection="1">
      <alignment horizontal="center"/>
      <protection locked="0"/>
    </xf>
    <xf numFmtId="4" fontId="22" fillId="0" borderId="35" xfId="1" applyNumberFormat="1" applyFont="1" applyFill="1" applyBorder="1" applyAlignment="1" applyProtection="1">
      <alignment horizontal="center" vertical="center"/>
      <protection hidden="1"/>
    </xf>
    <xf numFmtId="49" fontId="22" fillId="0" borderId="35" xfId="0" applyNumberFormat="1" applyFont="1" applyFill="1" applyBorder="1" applyAlignment="1" applyProtection="1">
      <alignment horizontal="center" vertical="center"/>
      <protection locked="0"/>
    </xf>
    <xf numFmtId="4" fontId="22" fillId="0" borderId="30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39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44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40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47" xfId="2" applyNumberFormat="1" applyFont="1" applyFill="1" applyBorder="1" applyAlignment="1" applyProtection="1">
      <alignment horizontal="center" vertical="center" wrapText="1"/>
      <protection locked="0"/>
    </xf>
    <xf numFmtId="4" fontId="39" fillId="2" borderId="9" xfId="2" applyNumberFormat="1" applyFont="1" applyFill="1" applyBorder="1" applyAlignment="1" applyProtection="1">
      <alignment horizontal="left" vertical="center" wrapText="1"/>
      <protection locked="0"/>
    </xf>
    <xf numFmtId="4" fontId="22" fillId="0" borderId="39" xfId="1" applyNumberFormat="1" applyFont="1" applyFill="1" applyBorder="1" applyAlignment="1" applyProtection="1">
      <alignment horizontal="center" vertical="center"/>
      <protection hidden="1"/>
    </xf>
    <xf numFmtId="4" fontId="23" fillId="0" borderId="40" xfId="1" applyNumberFormat="1" applyFont="1" applyFill="1" applyBorder="1" applyAlignment="1" applyProtection="1">
      <alignment horizontal="center" vertical="center"/>
      <protection hidden="1"/>
    </xf>
    <xf numFmtId="0" fontId="22" fillId="3" borderId="40" xfId="1" applyFont="1" applyFill="1" applyBorder="1" applyAlignment="1" applyProtection="1">
      <alignment horizontal="center" vertical="center"/>
      <protection locked="0"/>
    </xf>
    <xf numFmtId="4" fontId="22" fillId="0" borderId="51" xfId="1" applyNumberFormat="1" applyFont="1" applyFill="1" applyBorder="1" applyAlignment="1" applyProtection="1">
      <alignment horizontal="center" vertical="center"/>
      <protection hidden="1"/>
    </xf>
    <xf numFmtId="4" fontId="22" fillId="0" borderId="17" xfId="1" applyNumberFormat="1" applyFont="1" applyFill="1" applyBorder="1" applyAlignment="1" applyProtection="1">
      <alignment horizontal="center" vertical="center"/>
      <protection hidden="1"/>
    </xf>
    <xf numFmtId="4" fontId="22" fillId="0" borderId="4" xfId="1" applyNumberFormat="1" applyFont="1" applyFill="1" applyBorder="1" applyAlignment="1" applyProtection="1">
      <alignment horizontal="center" vertical="center"/>
      <protection hidden="1"/>
    </xf>
    <xf numFmtId="49" fontId="32" fillId="0" borderId="17" xfId="1" applyNumberFormat="1" applyFont="1" applyFill="1" applyBorder="1" applyAlignment="1" applyProtection="1">
      <alignment horizontal="center" vertical="center"/>
      <protection locked="0"/>
    </xf>
    <xf numFmtId="49" fontId="22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44" xfId="1" applyNumberFormat="1" applyFont="1" applyFill="1" applyBorder="1" applyAlignment="1" applyProtection="1">
      <alignment horizontal="center" vertical="center"/>
      <protection locked="0"/>
    </xf>
    <xf numFmtId="49" fontId="32" fillId="0" borderId="0" xfId="1" applyNumberFormat="1" applyFont="1" applyFill="1" applyBorder="1" applyAlignment="1" applyProtection="1">
      <alignment horizontal="center" vertical="center"/>
      <protection locked="0"/>
    </xf>
    <xf numFmtId="4" fontId="23" fillId="0" borderId="39" xfId="1" applyNumberFormat="1" applyFont="1" applyFill="1" applyBorder="1" applyAlignment="1" applyProtection="1">
      <alignment horizontal="center" vertical="center"/>
      <protection hidden="1"/>
    </xf>
    <xf numFmtId="4" fontId="6" fillId="2" borderId="9" xfId="1" applyNumberFormat="1" applyFont="1" applyFill="1" applyBorder="1" applyAlignment="1" applyProtection="1">
      <alignment horizontal="center" vertical="center"/>
      <protection hidden="1"/>
    </xf>
    <xf numFmtId="4" fontId="22" fillId="0" borderId="31" xfId="1" applyNumberFormat="1" applyFont="1" applyFill="1" applyBorder="1" applyAlignment="1" applyProtection="1">
      <alignment horizontal="center" vertical="center"/>
      <protection hidden="1"/>
    </xf>
    <xf numFmtId="4" fontId="21" fillId="0" borderId="15" xfId="0" applyNumberFormat="1" applyFont="1" applyBorder="1" applyAlignment="1">
      <alignment horizontal="right"/>
    </xf>
    <xf numFmtId="49" fontId="22" fillId="0" borderId="7" xfId="1" applyNumberFormat="1" applyFont="1" applyFill="1" applyBorder="1" applyAlignment="1" applyProtection="1">
      <alignment horizontal="left" vertical="center" wrapText="1"/>
      <protection locked="0"/>
    </xf>
    <xf numFmtId="4" fontId="21" fillId="0" borderId="7" xfId="0" applyNumberFormat="1" applyFont="1" applyFill="1" applyBorder="1" applyAlignment="1">
      <alignment horizontal="right"/>
    </xf>
    <xf numFmtId="49" fontId="5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1" applyNumberFormat="1" applyFont="1" applyFill="1" applyBorder="1" applyAlignment="1" applyProtection="1">
      <alignment horizontal="left" vertical="center" wrapText="1"/>
      <protection locked="0"/>
    </xf>
    <xf numFmtId="4" fontId="27" fillId="2" borderId="4" xfId="0" applyNumberFormat="1" applyFont="1" applyFill="1" applyBorder="1" applyAlignment="1">
      <alignment horizontal="right"/>
    </xf>
    <xf numFmtId="4" fontId="27" fillId="2" borderId="5" xfId="0" applyNumberFormat="1" applyFont="1" applyFill="1" applyBorder="1" applyAlignment="1">
      <alignment horizontal="right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3" xfId="0" applyNumberFormat="1" applyFont="1" applyFill="1" applyBorder="1" applyAlignment="1">
      <alignment horizontal="right"/>
    </xf>
    <xf numFmtId="4" fontId="21" fillId="0" borderId="8" xfId="0" applyNumberFormat="1" applyFont="1" applyFill="1" applyBorder="1" applyAlignment="1">
      <alignment horizontal="right"/>
    </xf>
    <xf numFmtId="49" fontId="2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42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21" fillId="0" borderId="15" xfId="0" applyNumberFormat="1" applyFont="1" applyFill="1" applyBorder="1" applyAlignment="1">
      <alignment horizontal="right"/>
    </xf>
    <xf numFmtId="49" fontId="22" fillId="3" borderId="14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6" xfId="0" applyNumberFormat="1" applyFont="1" applyFill="1" applyBorder="1" applyAlignment="1">
      <alignment horizontal="right"/>
    </xf>
    <xf numFmtId="4" fontId="21" fillId="0" borderId="13" xfId="0" applyNumberFormat="1" applyFont="1" applyBorder="1" applyAlignment="1">
      <alignment horizontal="right"/>
    </xf>
    <xf numFmtId="0" fontId="0" fillId="0" borderId="13" xfId="0" applyBorder="1"/>
    <xf numFmtId="49" fontId="22" fillId="3" borderId="42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/>
    <xf numFmtId="0" fontId="0" fillId="0" borderId="8" xfId="0" applyFill="1" applyBorder="1"/>
    <xf numFmtId="4" fontId="21" fillId="0" borderId="16" xfId="0" applyNumberFormat="1" applyFont="1" applyBorder="1" applyAlignment="1">
      <alignment horizontal="right"/>
    </xf>
    <xf numFmtId="4" fontId="21" fillId="0" borderId="7" xfId="0" applyNumberFormat="1" applyFont="1" applyBorder="1" applyAlignment="1">
      <alignment horizontal="right"/>
    </xf>
    <xf numFmtId="4" fontId="21" fillId="0" borderId="8" xfId="0" applyNumberFormat="1" applyFont="1" applyBorder="1" applyAlignment="1">
      <alignment horizontal="right"/>
    </xf>
    <xf numFmtId="0" fontId="22" fillId="3" borderId="15" xfId="0" applyNumberFormat="1" applyFont="1" applyFill="1" applyBorder="1" applyAlignment="1" applyProtection="1">
      <alignment horizontal="left" vertical="center" wrapText="1"/>
      <protection hidden="1"/>
    </xf>
    <xf numFmtId="4" fontId="22" fillId="0" borderId="15" xfId="1" applyNumberFormat="1" applyFont="1" applyFill="1" applyBorder="1" applyAlignment="1" applyProtection="1">
      <alignment horizontal="right" vertical="center"/>
      <protection hidden="1"/>
    </xf>
    <xf numFmtId="4" fontId="21" fillId="0" borderId="10" xfId="0" applyNumberFormat="1" applyFont="1" applyBorder="1"/>
    <xf numFmtId="0" fontId="21" fillId="0" borderId="12" xfId="0" applyFont="1" applyBorder="1"/>
    <xf numFmtId="4" fontId="22" fillId="5" borderId="30" xfId="1" applyNumberFormat="1" applyFont="1" applyFill="1" applyBorder="1" applyAlignment="1" applyProtection="1">
      <alignment horizontal="center" vertical="center"/>
      <protection hidden="1"/>
    </xf>
    <xf numFmtId="4" fontId="22" fillId="5" borderId="46" xfId="1" applyNumberFormat="1" applyFont="1" applyFill="1" applyBorder="1" applyAlignment="1" applyProtection="1">
      <alignment horizontal="center" vertical="center"/>
      <protection hidden="1"/>
    </xf>
    <xf numFmtId="49" fontId="22" fillId="3" borderId="10" xfId="1" applyNumberFormat="1" applyFont="1" applyFill="1" applyBorder="1" applyAlignment="1" applyProtection="1">
      <alignment horizontal="left" wrapText="1"/>
      <protection locked="0"/>
    </xf>
    <xf numFmtId="49" fontId="5" fillId="2" borderId="53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1" applyNumberFormat="1" applyFont="1" applyFill="1" applyBorder="1" applyAlignment="1" applyProtection="1">
      <alignment horizontal="left" vertical="center" wrapText="1"/>
      <protection locked="0"/>
    </xf>
    <xf numFmtId="4" fontId="27" fillId="2" borderId="3" xfId="0" applyNumberFormat="1" applyFont="1" applyFill="1" applyBorder="1" applyAlignment="1">
      <alignment horizontal="right"/>
    </xf>
    <xf numFmtId="0" fontId="21" fillId="0" borderId="12" xfId="0" applyFont="1" applyFill="1" applyBorder="1"/>
    <xf numFmtId="4" fontId="27" fillId="2" borderId="54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wrapText="1"/>
    </xf>
    <xf numFmtId="4" fontId="19" fillId="0" borderId="36" xfId="0" applyNumberFormat="1" applyFont="1" applyFill="1" applyBorder="1"/>
    <xf numFmtId="4" fontId="19" fillId="0" borderId="5" xfId="0" applyNumberFormat="1" applyFont="1" applyFill="1" applyBorder="1"/>
    <xf numFmtId="4" fontId="37" fillId="0" borderId="0" xfId="0" applyNumberFormat="1" applyFont="1"/>
    <xf numFmtId="4" fontId="43" fillId="2" borderId="4" xfId="0" applyNumberFormat="1" applyFont="1" applyFill="1" applyBorder="1" applyAlignment="1">
      <alignment horizontal="right"/>
    </xf>
    <xf numFmtId="49" fontId="5" fillId="2" borderId="36" xfId="1" applyNumberFormat="1" applyFont="1" applyFill="1" applyBorder="1" applyAlignment="1" applyProtection="1">
      <alignment horizontal="left" vertical="center" wrapText="1"/>
      <protection locked="0"/>
    </xf>
    <xf numFmtId="49" fontId="31" fillId="0" borderId="28" xfId="2" applyNumberFormat="1" applyFont="1" applyFill="1" applyBorder="1" applyAlignment="1" applyProtection="1">
      <alignment horizontal="center" vertical="center" wrapText="1"/>
      <protection locked="0"/>
    </xf>
    <xf numFmtId="4" fontId="21" fillId="5" borderId="10" xfId="0" applyNumberFormat="1" applyFont="1" applyFill="1" applyBorder="1" applyAlignment="1">
      <alignment horizontal="right"/>
    </xf>
    <xf numFmtId="0" fontId="27" fillId="0" borderId="10" xfId="0" applyFont="1" applyBorder="1"/>
    <xf numFmtId="0" fontId="21" fillId="0" borderId="10" xfId="0" applyFont="1" applyBorder="1"/>
    <xf numFmtId="4" fontId="27" fillId="0" borderId="10" xfId="0" applyNumberFormat="1" applyFont="1" applyBorder="1"/>
    <xf numFmtId="0" fontId="27" fillId="0" borderId="0" xfId="0" applyFont="1" applyAlignment="1">
      <alignment wrapText="1"/>
    </xf>
    <xf numFmtId="4" fontId="27" fillId="0" borderId="0" xfId="0" applyNumberFormat="1" applyFont="1" applyBorder="1"/>
    <xf numFmtId="0" fontId="2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22" fillId="3" borderId="31" xfId="1" applyFont="1" applyFill="1" applyBorder="1" applyAlignment="1" applyProtection="1">
      <alignment horizontal="center" vertical="center"/>
      <protection locked="0"/>
    </xf>
    <xf numFmtId="0" fontId="22" fillId="3" borderId="50" xfId="0" applyFont="1" applyFill="1" applyBorder="1" applyAlignment="1" applyProtection="1">
      <alignment horizontal="left" vertical="center" wrapText="1"/>
      <protection hidden="1"/>
    </xf>
    <xf numFmtId="4" fontId="22" fillId="0" borderId="41" xfId="1" applyNumberFormat="1" applyFont="1" applyFill="1" applyBorder="1" applyAlignment="1" applyProtection="1">
      <alignment horizontal="center" vertical="center"/>
      <protection hidden="1"/>
    </xf>
    <xf numFmtId="4" fontId="22" fillId="0" borderId="50" xfId="1" applyNumberFormat="1" applyFont="1" applyFill="1" applyBorder="1" applyAlignment="1" applyProtection="1">
      <alignment horizontal="center" vertical="center"/>
      <protection hidden="1"/>
    </xf>
    <xf numFmtId="4" fontId="23" fillId="0" borderId="31" xfId="1" applyNumberFormat="1" applyFont="1" applyFill="1" applyBorder="1" applyAlignment="1" applyProtection="1">
      <alignment horizontal="center" vertical="center"/>
      <protection hidden="1"/>
    </xf>
    <xf numFmtId="4" fontId="22" fillId="0" borderId="35" xfId="0" applyNumberFormat="1" applyFont="1" applyFill="1" applyBorder="1" applyAlignment="1" applyProtection="1">
      <alignment horizontal="center" vertical="center"/>
      <protection hidden="1"/>
    </xf>
    <xf numFmtId="4" fontId="22" fillId="0" borderId="23" xfId="0" applyNumberFormat="1" applyFont="1" applyFill="1" applyBorder="1" applyAlignment="1" applyProtection="1">
      <alignment horizontal="center" vertical="center"/>
      <protection hidden="1"/>
    </xf>
    <xf numFmtId="49" fontId="22" fillId="0" borderId="23" xfId="1" applyNumberFormat="1" applyFont="1" applyFill="1" applyBorder="1" applyAlignment="1" applyProtection="1">
      <alignment horizontal="center" vertical="center"/>
      <protection locked="0"/>
    </xf>
    <xf numFmtId="4" fontId="23" fillId="0" borderId="41" xfId="1" applyNumberFormat="1" applyFont="1" applyFill="1" applyBorder="1" applyAlignment="1" applyProtection="1">
      <alignment horizontal="center" vertical="center"/>
      <protection locked="0"/>
    </xf>
    <xf numFmtId="0" fontId="22" fillId="3" borderId="30" xfId="1" applyFont="1" applyFill="1" applyBorder="1" applyAlignment="1" applyProtection="1">
      <alignment horizontal="center" vertical="center"/>
      <protection locked="0"/>
    </xf>
    <xf numFmtId="0" fontId="22" fillId="3" borderId="55" xfId="0" applyFont="1" applyFill="1" applyBorder="1" applyAlignment="1" applyProtection="1">
      <alignment horizontal="left" vertical="center" wrapText="1"/>
      <protection hidden="1"/>
    </xf>
    <xf numFmtId="4" fontId="22" fillId="0" borderId="55" xfId="1" applyNumberFormat="1" applyFont="1" applyFill="1" applyBorder="1" applyAlignment="1" applyProtection="1">
      <alignment horizontal="center" vertical="center"/>
      <protection hidden="1"/>
    </xf>
    <xf numFmtId="4" fontId="23" fillId="0" borderId="30" xfId="1" applyNumberFormat="1" applyFont="1" applyFill="1" applyBorder="1" applyAlignment="1" applyProtection="1">
      <alignment horizontal="center" vertical="center"/>
      <protection hidden="1"/>
    </xf>
    <xf numFmtId="4" fontId="22" fillId="0" borderId="27" xfId="0" applyNumberFormat="1" applyFont="1" applyFill="1" applyBorder="1" applyAlignment="1" applyProtection="1">
      <alignment horizontal="center" vertical="center"/>
      <protection hidden="1"/>
    </xf>
    <xf numFmtId="4" fontId="22" fillId="0" borderId="2" xfId="0" applyNumberFormat="1" applyFont="1" applyFill="1" applyBorder="1" applyAlignment="1" applyProtection="1">
      <alignment horizontal="center" vertical="center"/>
      <protection hidden="1"/>
    </xf>
    <xf numFmtId="49" fontId="22" fillId="0" borderId="2" xfId="1" applyNumberFormat="1" applyFont="1" applyFill="1" applyBorder="1" applyAlignment="1" applyProtection="1">
      <alignment horizontal="center" vertical="center"/>
      <protection locked="0"/>
    </xf>
    <xf numFmtId="4" fontId="23" fillId="0" borderId="30" xfId="1" applyNumberFormat="1" applyFont="1" applyFill="1" applyBorder="1" applyAlignment="1" applyProtection="1">
      <alignment horizontal="center" vertical="center"/>
      <protection locked="0"/>
    </xf>
    <xf numFmtId="4" fontId="22" fillId="0" borderId="27" xfId="1" applyNumberFormat="1" applyFont="1" applyFill="1" applyBorder="1" applyAlignment="1" applyProtection="1">
      <alignment horizontal="center" vertical="center"/>
      <protection hidden="1"/>
    </xf>
    <xf numFmtId="4" fontId="22" fillId="0" borderId="2" xfId="1" applyNumberFormat="1" applyFont="1" applyFill="1" applyBorder="1" applyAlignment="1" applyProtection="1">
      <alignment horizontal="center" vertical="center"/>
      <protection hidden="1"/>
    </xf>
    <xf numFmtId="49" fontId="32" fillId="0" borderId="27" xfId="1" applyNumberFormat="1" applyFont="1" applyFill="1" applyBorder="1" applyAlignment="1" applyProtection="1">
      <alignment horizontal="center" vertical="center"/>
      <protection locked="0"/>
    </xf>
    <xf numFmtId="49" fontId="32" fillId="0" borderId="35" xfId="1" applyNumberFormat="1" applyFont="1" applyFill="1" applyBorder="1" applyAlignment="1" applyProtection="1">
      <alignment horizontal="center" vertical="center"/>
      <protection locked="0"/>
    </xf>
    <xf numFmtId="49" fontId="22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23" xfId="1" applyNumberFormat="1" applyFont="1" applyFill="1" applyBorder="1" applyAlignment="1" applyProtection="1">
      <alignment horizontal="left" vertical="center" wrapText="1"/>
      <protection locked="0"/>
    </xf>
    <xf numFmtId="4" fontId="21" fillId="0" borderId="23" xfId="0" applyNumberFormat="1" applyFont="1" applyFill="1" applyBorder="1" applyAlignment="1">
      <alignment horizontal="right"/>
    </xf>
    <xf numFmtId="4" fontId="21" fillId="0" borderId="24" xfId="0" applyNumberFormat="1" applyFont="1" applyFill="1" applyBorder="1" applyAlignment="1">
      <alignment horizontal="right"/>
    </xf>
    <xf numFmtId="49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2" xfId="1" applyNumberFormat="1" applyFont="1" applyFill="1" applyBorder="1" applyAlignment="1" applyProtection="1">
      <alignment horizontal="left" vertical="center" wrapText="1"/>
      <protection locked="0"/>
    </xf>
    <xf numFmtId="4" fontId="21" fillId="0" borderId="2" xfId="0" applyNumberFormat="1" applyFont="1" applyFill="1" applyBorder="1" applyAlignment="1">
      <alignment horizontal="right"/>
    </xf>
    <xf numFmtId="4" fontId="21" fillId="0" borderId="6" xfId="0" applyNumberFormat="1" applyFont="1" applyFill="1" applyBorder="1" applyAlignment="1">
      <alignment horizontal="right"/>
    </xf>
    <xf numFmtId="49" fontId="22" fillId="3" borderId="29" xfId="1" applyNumberFormat="1" applyFont="1" applyFill="1" applyBorder="1" applyAlignment="1" applyProtection="1">
      <alignment horizontal="left" vertical="center" wrapText="1"/>
      <protection locked="0"/>
    </xf>
    <xf numFmtId="4" fontId="21" fillId="0" borderId="29" xfId="0" applyNumberFormat="1" applyFont="1" applyBorder="1" applyAlignment="1">
      <alignment horizontal="right"/>
    </xf>
    <xf numFmtId="4" fontId="21" fillId="0" borderId="56" xfId="0" applyNumberFormat="1" applyFont="1" applyBorder="1" applyAlignment="1">
      <alignment horizontal="right"/>
    </xf>
    <xf numFmtId="49" fontId="22" fillId="3" borderId="2" xfId="1" applyNumberFormat="1" applyFont="1" applyFill="1" applyBorder="1" applyAlignment="1" applyProtection="1">
      <alignment horizontal="left" vertical="center" wrapText="1"/>
      <protection locked="0"/>
    </xf>
    <xf numFmtId="4" fontId="21" fillId="0" borderId="2" xfId="0" applyNumberFormat="1" applyFont="1" applyBorder="1" applyAlignment="1">
      <alignment horizontal="right"/>
    </xf>
    <xf numFmtId="4" fontId="21" fillId="0" borderId="6" xfId="0" applyNumberFormat="1" applyFont="1" applyBorder="1" applyAlignment="1">
      <alignment horizontal="right"/>
    </xf>
    <xf numFmtId="0" fontId="22" fillId="0" borderId="22" xfId="1" applyFont="1" applyFill="1" applyBorder="1" applyAlignment="1" applyProtection="1">
      <alignment horizontal="center" vertical="center"/>
      <protection locked="0"/>
    </xf>
    <xf numFmtId="0" fontId="22" fillId="3" borderId="23" xfId="0" applyNumberFormat="1" applyFont="1" applyFill="1" applyBorder="1" applyAlignment="1" applyProtection="1">
      <alignment horizontal="left" vertical="center" wrapText="1"/>
      <protection hidden="1"/>
    </xf>
    <xf numFmtId="4" fontId="21" fillId="0" borderId="23" xfId="0" applyNumberFormat="1" applyFont="1" applyBorder="1" applyAlignment="1">
      <alignment horizontal="right"/>
    </xf>
    <xf numFmtId="0" fontId="22" fillId="0" borderId="1" xfId="1" applyFont="1" applyFill="1" applyBorder="1" applyAlignment="1" applyProtection="1">
      <alignment horizontal="center" vertical="center"/>
      <protection locked="0"/>
    </xf>
    <xf numFmtId="0" fontId="22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22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23" xfId="1" applyNumberFormat="1" applyFont="1" applyFill="1" applyBorder="1" applyAlignment="1" applyProtection="1">
      <alignment horizontal="right" vertical="center"/>
      <protection hidden="1"/>
    </xf>
    <xf numFmtId="49" fontId="22" fillId="3" borderId="2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2" xfId="1" applyNumberFormat="1" applyFont="1" applyFill="1" applyBorder="1" applyAlignment="1" applyProtection="1">
      <alignment horizontal="right" vertical="center"/>
      <protection hidden="1"/>
    </xf>
    <xf numFmtId="0" fontId="21" fillId="0" borderId="22" xfId="0" applyFont="1" applyBorder="1"/>
    <xf numFmtId="49" fontId="22" fillId="3" borderId="23" xfId="1" applyNumberFormat="1" applyFont="1" applyFill="1" applyBorder="1" applyAlignment="1" applyProtection="1">
      <alignment horizontal="left" vertical="center" wrapText="1"/>
      <protection locked="0"/>
    </xf>
    <xf numFmtId="4" fontId="21" fillId="0" borderId="24" xfId="0" applyNumberFormat="1" applyFont="1" applyBorder="1" applyAlignment="1">
      <alignment horizontal="right"/>
    </xf>
    <xf numFmtId="0" fontId="21" fillId="0" borderId="14" xfId="0" applyFont="1" applyFill="1" applyBorder="1"/>
    <xf numFmtId="0" fontId="21" fillId="0" borderId="1" xfId="0" applyFont="1" applyBorder="1"/>
    <xf numFmtId="0" fontId="23" fillId="3" borderId="2" xfId="2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6" xfId="0" applyBorder="1"/>
    <xf numFmtId="0" fontId="21" fillId="0" borderId="22" xfId="0" applyFont="1" applyFill="1" applyBorder="1"/>
    <xf numFmtId="0" fontId="21" fillId="0" borderId="1" xfId="0" applyFont="1" applyFill="1" applyBorder="1"/>
    <xf numFmtId="49" fontId="2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right"/>
    </xf>
    <xf numFmtId="0" fontId="0" fillId="0" borderId="2" xfId="0" applyBorder="1" applyAlignment="1">
      <alignment horizontal="right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left" vertical="center" wrapText="1"/>
      <protection locked="0"/>
    </xf>
    <xf numFmtId="4" fontId="27" fillId="0" borderId="0" xfId="0" applyNumberFormat="1" applyFont="1" applyFill="1" applyBorder="1" applyAlignment="1">
      <alignment horizontal="right"/>
    </xf>
    <xf numFmtId="4" fontId="21" fillId="0" borderId="13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wrapText="1"/>
    </xf>
    <xf numFmtId="49" fontId="5" fillId="2" borderId="10" xfId="1" applyNumberFormat="1" applyFont="1" applyFill="1" applyBorder="1" applyAlignment="1" applyProtection="1">
      <alignment horizontal="left" vertical="center" wrapText="1"/>
      <protection locked="0"/>
    </xf>
    <xf numFmtId="4" fontId="27" fillId="2" borderId="10" xfId="0" applyNumberFormat="1" applyFont="1" applyFill="1" applyBorder="1" applyAlignment="1">
      <alignment horizontal="right"/>
    </xf>
    <xf numFmtId="4" fontId="43" fillId="2" borderId="10" xfId="0" applyNumberFormat="1" applyFont="1" applyFill="1" applyBorder="1" applyAlignment="1">
      <alignment horizontal="right"/>
    </xf>
    <xf numFmtId="0" fontId="0" fillId="0" borderId="10" xfId="0" applyFill="1" applyBorder="1"/>
    <xf numFmtId="49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27" fillId="2" borderId="13" xfId="0" applyNumberFormat="1" applyFont="1" applyFill="1" applyBorder="1" applyAlignment="1">
      <alignment horizontal="right"/>
    </xf>
    <xf numFmtId="49" fontId="22" fillId="3" borderId="12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22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23" xfId="1" applyNumberFormat="1" applyFont="1" applyFill="1" applyBorder="1" applyAlignment="1" applyProtection="1">
      <alignment horizontal="left" vertical="center" wrapText="1"/>
      <protection locked="0"/>
    </xf>
    <xf numFmtId="4" fontId="27" fillId="2" borderId="23" xfId="0" applyNumberFormat="1" applyFont="1" applyFill="1" applyBorder="1" applyAlignment="1">
      <alignment horizontal="right"/>
    </xf>
    <xf numFmtId="4" fontId="27" fillId="2" borderId="24" xfId="0" applyNumberFormat="1" applyFont="1" applyFill="1" applyBorder="1" applyAlignment="1">
      <alignment horizontal="right"/>
    </xf>
    <xf numFmtId="4" fontId="21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wrapText="1"/>
    </xf>
    <xf numFmtId="4" fontId="44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/>
    <xf numFmtId="0" fontId="0" fillId="0" borderId="13" xfId="0" applyBorder="1" applyAlignment="1"/>
    <xf numFmtId="4" fontId="22" fillId="0" borderId="10" xfId="1" applyNumberFormat="1" applyFont="1" applyFill="1" applyBorder="1" applyAlignment="1" applyProtection="1">
      <alignment horizontal="right"/>
      <protection hidden="1"/>
    </xf>
    <xf numFmtId="4" fontId="27" fillId="0" borderId="7" xfId="0" applyNumberFormat="1" applyFont="1" applyBorder="1"/>
    <xf numFmtId="4" fontId="27" fillId="0" borderId="10" xfId="0" applyNumberFormat="1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49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hidden="1"/>
    </xf>
    <xf numFmtId="0" fontId="5" fillId="2" borderId="10" xfId="2" applyFont="1" applyFill="1" applyBorder="1" applyAlignment="1" applyProtection="1">
      <alignment horizontal="center" vertical="center" wrapText="1"/>
      <protection hidden="1"/>
    </xf>
    <xf numFmtId="1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2" applyNumberFormat="1" applyFont="1" applyFill="1" applyBorder="1" applyAlignment="1" applyProtection="1">
      <alignment horizontal="center" vertical="center" wrapText="1"/>
      <protection hidden="1"/>
    </xf>
    <xf numFmtId="4" fontId="5" fillId="2" borderId="10" xfId="2" applyNumberFormat="1" applyFont="1" applyFill="1" applyBorder="1" applyAlignment="1" applyProtection="1">
      <alignment horizontal="center" vertical="center" wrapText="1"/>
      <protection hidden="1"/>
    </xf>
    <xf numFmtId="0" fontId="28" fillId="3" borderId="25" xfId="0" applyFont="1" applyFill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6" fillId="0" borderId="0" xfId="1" applyNumberFormat="1" applyFont="1" applyAlignment="1" applyProtection="1">
      <alignment horizontal="center" wrapText="1"/>
      <protection locked="0"/>
    </xf>
    <xf numFmtId="4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1" fontId="5" fillId="2" borderId="6" xfId="2" applyNumberFormat="1" applyFont="1" applyFill="1" applyBorder="1" applyAlignment="1" applyProtection="1">
      <alignment horizontal="center" vertical="center" wrapText="1"/>
      <protection locked="0"/>
    </xf>
    <xf numFmtId="1" fontId="5" fillId="2" borderId="13" xfId="2" applyNumberFormat="1" applyFont="1" applyFill="1" applyBorder="1" applyAlignment="1" applyProtection="1">
      <alignment horizontal="center" vertical="center" wrapText="1"/>
      <protection locked="0"/>
    </xf>
    <xf numFmtId="1" fontId="5" fillId="2" borderId="30" xfId="2" applyNumberFormat="1" applyFont="1" applyFill="1" applyBorder="1" applyAlignment="1" applyProtection="1">
      <alignment horizontal="center" vertical="center" wrapText="1"/>
      <protection locked="0"/>
    </xf>
    <xf numFmtId="1" fontId="5" fillId="2" borderId="31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1" fontId="5" fillId="2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2" borderId="26" xfId="2" applyNumberFormat="1" applyFont="1" applyFill="1" applyBorder="1" applyAlignment="1" applyProtection="1">
      <alignment horizontal="center" vertical="center" wrapText="1"/>
      <protection locked="0"/>
    </xf>
    <xf numFmtId="1" fontId="5" fillId="2" borderId="3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2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9" fillId="2" borderId="39" xfId="2" applyNumberFormat="1" applyFont="1" applyFill="1" applyBorder="1" applyAlignment="1" applyProtection="1">
      <alignment horizontal="center" vertical="center" wrapText="1"/>
      <protection locked="0"/>
    </xf>
    <xf numFmtId="0" fontId="40" fillId="0" borderId="40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1" fontId="39" fillId="2" borderId="43" xfId="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wrapText="1"/>
    </xf>
    <xf numFmtId="0" fontId="40" fillId="0" borderId="48" xfId="0" applyFont="1" applyBorder="1" applyAlignment="1">
      <alignment horizontal="center" wrapText="1"/>
    </xf>
    <xf numFmtId="1" fontId="5" fillId="2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2" borderId="38" xfId="2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2" applyNumberFormat="1" applyFont="1" applyFill="1" applyBorder="1" applyAlignment="1" applyProtection="1">
      <alignment horizontal="center" vertical="center" wrapText="1"/>
      <protection locked="0"/>
    </xf>
    <xf numFmtId="49" fontId="31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31" fillId="0" borderId="6" xfId="2" applyNumberFormat="1" applyFont="1" applyFill="1" applyBorder="1" applyAlignment="1" applyProtection="1">
      <alignment horizontal="center" vertical="center" wrapText="1"/>
      <protection locked="0"/>
    </xf>
    <xf numFmtId="1" fontId="31" fillId="0" borderId="13" xfId="2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4" fontId="21" fillId="0" borderId="10" xfId="0" applyNumberFormat="1" applyFont="1" applyFill="1" applyBorder="1" applyAlignment="1">
      <alignment horizontal="center" vertical="center" wrapText="1"/>
    </xf>
  </cellXfs>
  <cellStyles count="75">
    <cellStyle name="Cell1" xfId="5"/>
    <cellStyle name="Cell2" xfId="4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Денежный 2" xfId="67"/>
    <cellStyle name="КАНДАГАЧ тел3-33-96" xfId="36"/>
    <cellStyle name="Обычный" xfId="0" builtinId="0"/>
    <cellStyle name="Обычный 10" xfId="37"/>
    <cellStyle name="Обычный 11" xfId="38"/>
    <cellStyle name="Обычный 12" xfId="39"/>
    <cellStyle name="Обычный 14" xfId="40"/>
    <cellStyle name="Обычный 15" xfId="41"/>
    <cellStyle name="Обычный 16" xfId="42"/>
    <cellStyle name="Обычный 17" xfId="43"/>
    <cellStyle name="Обычный 18" xfId="44"/>
    <cellStyle name="Обычный 19" xfId="45"/>
    <cellStyle name="Обычный 2" xfId="2"/>
    <cellStyle name="Обычный 2 2" xfId="46"/>
    <cellStyle name="Обычный 20" xfId="47"/>
    <cellStyle name="Обычный 24" xfId="48"/>
    <cellStyle name="Обычный 26" xfId="49"/>
    <cellStyle name="Обычный 26 2" xfId="50"/>
    <cellStyle name="Обычный 3" xfId="1"/>
    <cellStyle name="Обычный 3 2" xfId="51"/>
    <cellStyle name="Обычный 3 4" xfId="52"/>
    <cellStyle name="Обычный 32" xfId="53"/>
    <cellStyle name="Обычный 33" xfId="54"/>
    <cellStyle name="Обычный 34" xfId="55"/>
    <cellStyle name="Обычный 35" xfId="56"/>
    <cellStyle name="Обычный 4" xfId="57"/>
    <cellStyle name="Обычный 4 5" xfId="58"/>
    <cellStyle name="Обычный 5" xfId="73"/>
    <cellStyle name="Обычный 7" xfId="59"/>
    <cellStyle name="Обычный 7 6" xfId="60"/>
    <cellStyle name="Обычный 7 7" xfId="61"/>
    <cellStyle name="Обычный 8" xfId="62"/>
    <cellStyle name="Обычный 9 8" xfId="63"/>
    <cellStyle name="Обычный 9 9" xfId="64"/>
    <cellStyle name="Обычный_Лист1 (2)" xfId="68"/>
    <cellStyle name="Процентный 2" xfId="70"/>
    <cellStyle name="Процентный 3" xfId="69"/>
    <cellStyle name="Процентный 4" xfId="74"/>
    <cellStyle name="Стиль 1" xfId="65"/>
    <cellStyle name="Стиль 1 2" xfId="66"/>
    <cellStyle name="Финансовый 2" xfId="3"/>
    <cellStyle name="Финансовый 2 2" xfId="71"/>
    <cellStyle name="Финансовый 3" xfId="7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a/AppData/Local/Microsoft/Windows/Temporary%20Internet%20Files/Content.Outlook/4YMXZZIJ/&#1050;&#1086;&#1087;&#1080;&#1103;%20&#1064;&#1072;&#1073;&#1083;&#1086;&#1085;%20&#1087;&#1083;&#1072;&#1085;&#1072;%20&#1043;&#1047;_ru_v47_2013-2014%20&#1075;&#1086;&#1076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2\AppData\Local\Microsoft\Windows\Temporary%20Internet%20Files\Content.Outlook\VXEMQXNN\&#1050;&#1086;&#1087;&#1080;&#1103;%20&#1064;&#1072;&#1073;&#1083;&#1086;&#1085;%20&#1087;&#1083;&#1072;&#1085;&#1072;%20&#1043;&#1047;_ru_v47_2013-2014%20&#1075;&#1086;&#1076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42;&#1089;&#1077;%20&#1040;&#1082;&#1090;&#1099;\&#1062;&#1054;&#1044;\&#1052;&#1077;&#1090;&#1086;&#1076;%20&#1085;&#1072;&#1095;&#1080;&#1089;.%20&#1082;&#1086;&#1084;&#1084;&#1091;&#1085;.%20&#1040;&#1054;%20&#1062;&#1054;&#1044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</sheetData>
      <sheetData sheetId="5">
        <row r="1">
          <cell r="A1" t="str">
            <v>1 Бюджет</v>
          </cell>
        </row>
      </sheetData>
      <sheetData sheetId="6">
        <row r="1">
          <cell r="A1" t="str">
            <v>01 Конкурс</v>
          </cell>
        </row>
      </sheetData>
      <sheetData sheetId="7">
        <row r="1">
          <cell r="A1" t="str">
            <v>Товар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</sheetData>
      <sheetData sheetId="11">
        <row r="2">
          <cell r="A2" t="str">
            <v>110000000</v>
          </cell>
        </row>
      </sheetData>
      <sheetData sheetId="12">
        <row r="2">
          <cell r="A2" t="str">
            <v>101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новый 2010 охр"/>
      <sheetName val="охр 2009"/>
      <sheetName val="2015"/>
      <sheetName val="Лист1"/>
      <sheetName val="2013"/>
      <sheetName val="пост пол 2015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B103"/>
  <sheetViews>
    <sheetView tabSelected="1" topLeftCell="A46" zoomScale="55" zoomScaleNormal="55" workbookViewId="0">
      <pane ySplit="180" activePane="bottomLeft"/>
      <selection activeCell="A46" sqref="A1:I1048576"/>
      <selection pane="bottomLeft" activeCell="Q3" sqref="Q3"/>
    </sheetView>
  </sheetViews>
  <sheetFormatPr defaultRowHeight="15"/>
  <cols>
    <col min="1" max="1" width="6" customWidth="1"/>
    <col min="2" max="2" width="14.28515625" customWidth="1"/>
    <col min="3" max="3" width="23.28515625" customWidth="1"/>
    <col min="4" max="4" width="25.7109375" customWidth="1"/>
    <col min="5" max="5" width="25.85546875" customWidth="1"/>
    <col min="6" max="6" width="26.28515625" customWidth="1"/>
    <col min="7" max="7" width="21.42578125" customWidth="1"/>
    <col min="8" max="8" width="16" customWidth="1"/>
    <col min="9" max="9" width="14.140625" customWidth="1"/>
    <col min="10" max="10" width="20.7109375" customWidth="1"/>
    <col min="11" max="11" width="16.140625" customWidth="1"/>
    <col min="12" max="14" width="17.28515625" hidden="1" customWidth="1"/>
    <col min="15" max="15" width="17.5703125" customWidth="1"/>
    <col min="16" max="16" width="15" customWidth="1"/>
    <col min="17" max="17" width="18.140625" customWidth="1"/>
    <col min="18" max="18" width="12.42578125" customWidth="1"/>
    <col min="19" max="19" width="17.85546875" customWidth="1"/>
    <col min="20" max="20" width="12.140625" customWidth="1"/>
    <col min="21" max="21" width="10.5703125" customWidth="1"/>
    <col min="24" max="25" width="9.7109375" bestFit="1" customWidth="1"/>
  </cols>
  <sheetData>
    <row r="2" spans="1:444" ht="15.75">
      <c r="Q2" s="64" t="s">
        <v>306</v>
      </c>
      <c r="R2" s="64"/>
    </row>
    <row r="3" spans="1:444" ht="15.75">
      <c r="Q3" s="64" t="s">
        <v>509</v>
      </c>
      <c r="R3" s="64"/>
    </row>
    <row r="6" spans="1:444" ht="18.75">
      <c r="A6" s="410" t="s">
        <v>312</v>
      </c>
      <c r="B6" s="410"/>
      <c r="C6" s="390"/>
      <c r="D6" s="390"/>
      <c r="E6" s="390"/>
      <c r="F6" s="390"/>
      <c r="G6" s="390"/>
      <c r="H6" s="390"/>
      <c r="I6" s="390"/>
      <c r="J6" s="390"/>
    </row>
    <row r="7" spans="1:444" ht="15.75" thickBot="1"/>
    <row r="8" spans="1:444" ht="53.45" customHeight="1" thickBot="1">
      <c r="B8" s="50" t="s">
        <v>267</v>
      </c>
      <c r="C8" s="50" t="s">
        <v>292</v>
      </c>
      <c r="D8" s="52" t="s">
        <v>0</v>
      </c>
      <c r="E8" s="51" t="s">
        <v>314</v>
      </c>
    </row>
    <row r="9" spans="1:444" ht="15.75" thickBot="1"/>
    <row r="10" spans="1:444" s="4" customFormat="1" ht="12" customHeight="1">
      <c r="A10" s="414" t="s">
        <v>1</v>
      </c>
      <c r="B10" s="395" t="s">
        <v>2</v>
      </c>
      <c r="C10" s="395" t="s">
        <v>282</v>
      </c>
      <c r="D10" s="395" t="s">
        <v>283</v>
      </c>
      <c r="E10" s="395" t="s">
        <v>284</v>
      </c>
      <c r="F10" s="395" t="s">
        <v>285</v>
      </c>
      <c r="G10" s="395" t="s">
        <v>3</v>
      </c>
      <c r="H10" s="399" t="s">
        <v>286</v>
      </c>
      <c r="I10" s="401" t="s">
        <v>5</v>
      </c>
      <c r="J10" s="401" t="s">
        <v>6</v>
      </c>
      <c r="K10" s="403" t="s">
        <v>7</v>
      </c>
      <c r="L10" s="411" t="s">
        <v>8</v>
      </c>
      <c r="M10" s="411" t="s">
        <v>287</v>
      </c>
      <c r="N10" s="411" t="s">
        <v>288</v>
      </c>
      <c r="O10" s="397" t="s">
        <v>9</v>
      </c>
      <c r="P10" s="395" t="s">
        <v>10</v>
      </c>
      <c r="Q10" s="397" t="s">
        <v>11</v>
      </c>
      <c r="R10" s="416" t="s">
        <v>12</v>
      </c>
    </row>
    <row r="11" spans="1:444" s="4" customFormat="1" ht="97.15" customHeight="1">
      <c r="A11" s="415"/>
      <c r="B11" s="413"/>
      <c r="C11" s="413"/>
      <c r="D11" s="413"/>
      <c r="E11" s="413"/>
      <c r="F11" s="396"/>
      <c r="G11" s="396"/>
      <c r="H11" s="400"/>
      <c r="I11" s="402"/>
      <c r="J11" s="402"/>
      <c r="K11" s="404"/>
      <c r="L11" s="412"/>
      <c r="M11" s="412" t="s">
        <v>287</v>
      </c>
      <c r="N11" s="412"/>
      <c r="O11" s="398"/>
      <c r="P11" s="396"/>
      <c r="Q11" s="398"/>
      <c r="R11" s="417"/>
    </row>
    <row r="12" spans="1:444" s="4" customFormat="1" ht="15.6" customHeight="1">
      <c r="A12" s="59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>
        <v>10</v>
      </c>
      <c r="K12" s="60">
        <v>11</v>
      </c>
      <c r="L12" s="60">
        <v>12</v>
      </c>
      <c r="M12" s="60">
        <v>13</v>
      </c>
      <c r="N12" s="60">
        <v>14</v>
      </c>
      <c r="O12" s="60">
        <v>15</v>
      </c>
      <c r="P12" s="63" t="s">
        <v>246</v>
      </c>
      <c r="Q12" s="60">
        <v>17</v>
      </c>
      <c r="R12" s="65" t="s">
        <v>247</v>
      </c>
    </row>
    <row r="13" spans="1:444" s="4" customFormat="1" ht="75.599999999999994" customHeight="1">
      <c r="A13" s="10">
        <v>1</v>
      </c>
      <c r="B13" s="14" t="s">
        <v>13</v>
      </c>
      <c r="C13" s="14" t="s">
        <v>14</v>
      </c>
      <c r="D13" s="14" t="s">
        <v>14</v>
      </c>
      <c r="E13" s="14" t="s">
        <v>15</v>
      </c>
      <c r="F13" s="14" t="s">
        <v>16</v>
      </c>
      <c r="G13" s="11" t="s">
        <v>291</v>
      </c>
      <c r="H13" s="15" t="s">
        <v>17</v>
      </c>
      <c r="I13" s="16">
        <v>1</v>
      </c>
      <c r="J13" s="17">
        <v>75000</v>
      </c>
      <c r="K13" s="18">
        <v>75000</v>
      </c>
      <c r="L13" s="13"/>
      <c r="M13" s="13"/>
      <c r="N13" s="13"/>
      <c r="O13" s="12" t="s">
        <v>18</v>
      </c>
      <c r="P13" s="11" t="s">
        <v>19</v>
      </c>
      <c r="Q13" s="12" t="s">
        <v>20</v>
      </c>
      <c r="R13" s="19">
        <v>100</v>
      </c>
    </row>
    <row r="14" spans="1:444" s="7" customFormat="1" ht="57.6" customHeight="1">
      <c r="A14" s="10">
        <v>2</v>
      </c>
      <c r="B14" s="20" t="s">
        <v>23</v>
      </c>
      <c r="C14" s="20" t="s">
        <v>24</v>
      </c>
      <c r="D14" s="20" t="s">
        <v>24</v>
      </c>
      <c r="E14" s="20" t="s">
        <v>25</v>
      </c>
      <c r="F14" s="20" t="s">
        <v>26</v>
      </c>
      <c r="G14" s="21" t="s">
        <v>289</v>
      </c>
      <c r="H14" s="23" t="s">
        <v>23</v>
      </c>
      <c r="I14" s="24">
        <v>1</v>
      </c>
      <c r="J14" s="25">
        <f>8495500/1.12</f>
        <v>7585267.8571428563</v>
      </c>
      <c r="K14" s="26">
        <f>J14</f>
        <v>7585267.8571428563</v>
      </c>
      <c r="L14" s="22"/>
      <c r="M14" s="22"/>
      <c r="N14" s="22"/>
      <c r="O14" s="27" t="s">
        <v>274</v>
      </c>
      <c r="P14" s="21" t="s">
        <v>303</v>
      </c>
      <c r="Q14" s="27" t="s">
        <v>20</v>
      </c>
      <c r="R14" s="28">
        <v>30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</row>
    <row r="15" spans="1:444" s="4" customFormat="1" ht="140.44999999999999" customHeight="1">
      <c r="A15" s="10">
        <v>3</v>
      </c>
      <c r="B15" s="14" t="s">
        <v>13</v>
      </c>
      <c r="C15" s="14" t="s">
        <v>188</v>
      </c>
      <c r="D15" s="14" t="s">
        <v>188</v>
      </c>
      <c r="E15" s="14" t="s">
        <v>189</v>
      </c>
      <c r="F15" s="14" t="s">
        <v>190</v>
      </c>
      <c r="G15" s="11" t="s">
        <v>289</v>
      </c>
      <c r="H15" s="15" t="s">
        <v>17</v>
      </c>
      <c r="I15" s="16">
        <v>1</v>
      </c>
      <c r="J15" s="17">
        <f>944542.5/1.12</f>
        <v>843341.51785714272</v>
      </c>
      <c r="K15" s="18">
        <f>J15</f>
        <v>843341.51785714272</v>
      </c>
      <c r="L15" s="13"/>
      <c r="M15" s="13"/>
      <c r="N15" s="13"/>
      <c r="O15" s="12" t="s">
        <v>227</v>
      </c>
      <c r="P15" s="11" t="s">
        <v>19</v>
      </c>
      <c r="Q15" s="12" t="s">
        <v>20</v>
      </c>
      <c r="R15" s="19">
        <v>5</v>
      </c>
    </row>
    <row r="16" spans="1:444" s="4" customFormat="1" ht="62.45" customHeight="1">
      <c r="A16" s="10">
        <v>4</v>
      </c>
      <c r="B16" s="14" t="s">
        <v>13</v>
      </c>
      <c r="C16" s="14" t="s">
        <v>28</v>
      </c>
      <c r="D16" s="14" t="s">
        <v>28</v>
      </c>
      <c r="E16" s="14" t="s">
        <v>29</v>
      </c>
      <c r="F16" s="14" t="s">
        <v>30</v>
      </c>
      <c r="G16" s="11" t="s">
        <v>289</v>
      </c>
      <c r="H16" s="15" t="s">
        <v>17</v>
      </c>
      <c r="I16" s="16">
        <v>1</v>
      </c>
      <c r="J16" s="17">
        <f>91878/1.12</f>
        <v>82033.928571428565</v>
      </c>
      <c r="K16" s="18">
        <f>J16</f>
        <v>82033.928571428565</v>
      </c>
      <c r="L16" s="13"/>
      <c r="M16" s="13"/>
      <c r="N16" s="13"/>
      <c r="O16" s="12" t="s">
        <v>227</v>
      </c>
      <c r="P16" s="11" t="s">
        <v>19</v>
      </c>
      <c r="Q16" s="12" t="s">
        <v>20</v>
      </c>
      <c r="R16" s="19">
        <v>5</v>
      </c>
    </row>
    <row r="17" spans="1:18" s="6" customFormat="1" ht="78" customHeight="1">
      <c r="A17" s="10">
        <v>5</v>
      </c>
      <c r="B17" s="14" t="s">
        <v>13</v>
      </c>
      <c r="C17" s="14" t="s">
        <v>44</v>
      </c>
      <c r="D17" s="14" t="s">
        <v>44</v>
      </c>
      <c r="E17" s="14" t="s">
        <v>45</v>
      </c>
      <c r="F17" s="14" t="s">
        <v>46</v>
      </c>
      <c r="G17" s="11" t="s">
        <v>289</v>
      </c>
      <c r="H17" s="15" t="s">
        <v>17</v>
      </c>
      <c r="I17" s="16">
        <v>1</v>
      </c>
      <c r="J17" s="17">
        <f>515600/1.12</f>
        <v>460357.14285714284</v>
      </c>
      <c r="K17" s="18">
        <f>I17*J17</f>
        <v>460357.14285714284</v>
      </c>
      <c r="L17" s="13"/>
      <c r="M17" s="13"/>
      <c r="N17" s="13"/>
      <c r="O17" s="27" t="s">
        <v>227</v>
      </c>
      <c r="P17" s="11" t="s">
        <v>19</v>
      </c>
      <c r="Q17" s="12" t="s">
        <v>20</v>
      </c>
      <c r="R17" s="19">
        <v>5</v>
      </c>
    </row>
    <row r="18" spans="1:18" s="6" customFormat="1" ht="78.75">
      <c r="A18" s="10">
        <v>6</v>
      </c>
      <c r="B18" s="14" t="s">
        <v>13</v>
      </c>
      <c r="C18" s="14" t="s">
        <v>49</v>
      </c>
      <c r="D18" s="14" t="s">
        <v>49</v>
      </c>
      <c r="E18" s="14" t="s">
        <v>50</v>
      </c>
      <c r="F18" s="14" t="s">
        <v>51</v>
      </c>
      <c r="G18" s="11" t="s">
        <v>289</v>
      </c>
      <c r="H18" s="15" t="s">
        <v>17</v>
      </c>
      <c r="I18" s="16">
        <v>1</v>
      </c>
      <c r="J18" s="17">
        <f>7000000/1.12</f>
        <v>6249999.9999999991</v>
      </c>
      <c r="K18" s="18">
        <f>I18*J18</f>
        <v>6249999.9999999991</v>
      </c>
      <c r="L18" s="13"/>
      <c r="M18" s="13"/>
      <c r="N18" s="13"/>
      <c r="O18" s="12" t="s">
        <v>18</v>
      </c>
      <c r="P18" s="11" t="s">
        <v>19</v>
      </c>
      <c r="Q18" s="12" t="s">
        <v>20</v>
      </c>
      <c r="R18" s="19">
        <v>5</v>
      </c>
    </row>
    <row r="19" spans="1:18" s="6" customFormat="1" ht="63">
      <c r="A19" s="10">
        <v>7</v>
      </c>
      <c r="B19" s="14" t="s">
        <v>13</v>
      </c>
      <c r="C19" s="14" t="s">
        <v>42</v>
      </c>
      <c r="D19" s="14" t="s">
        <v>42</v>
      </c>
      <c r="E19" s="14" t="s">
        <v>53</v>
      </c>
      <c r="F19" s="14" t="s">
        <v>53</v>
      </c>
      <c r="G19" s="11" t="s">
        <v>291</v>
      </c>
      <c r="H19" s="15" t="s">
        <v>17</v>
      </c>
      <c r="I19" s="16">
        <v>1</v>
      </c>
      <c r="J19" s="17">
        <v>286309</v>
      </c>
      <c r="K19" s="17">
        <f>I19*J19</f>
        <v>286309</v>
      </c>
      <c r="L19" s="13"/>
      <c r="M19" s="13"/>
      <c r="N19" s="13"/>
      <c r="O19" s="12" t="s">
        <v>274</v>
      </c>
      <c r="P19" s="11" t="s">
        <v>275</v>
      </c>
      <c r="Q19" s="12" t="s">
        <v>20</v>
      </c>
      <c r="R19" s="19">
        <v>100</v>
      </c>
    </row>
    <row r="20" spans="1:18" s="5" customFormat="1" ht="31.5">
      <c r="A20" s="10">
        <v>8</v>
      </c>
      <c r="B20" s="14" t="s">
        <v>33</v>
      </c>
      <c r="C20" s="29" t="s">
        <v>173</v>
      </c>
      <c r="D20" s="29" t="s">
        <v>173</v>
      </c>
      <c r="E20" s="29" t="s">
        <v>147</v>
      </c>
      <c r="F20" s="42" t="s">
        <v>147</v>
      </c>
      <c r="G20" s="11" t="s">
        <v>291</v>
      </c>
      <c r="H20" s="34" t="s">
        <v>35</v>
      </c>
      <c r="I20" s="35">
        <v>2</v>
      </c>
      <c r="J20" s="36">
        <v>26227.8</v>
      </c>
      <c r="K20" s="36">
        <v>52455.6</v>
      </c>
      <c r="L20" s="38"/>
      <c r="M20" s="38"/>
      <c r="N20" s="38"/>
      <c r="O20" s="27" t="s">
        <v>18</v>
      </c>
      <c r="P20" s="11" t="s">
        <v>305</v>
      </c>
      <c r="Q20" s="12" t="s">
        <v>20</v>
      </c>
      <c r="R20" s="19">
        <v>5</v>
      </c>
    </row>
    <row r="21" spans="1:18" s="5" customFormat="1" ht="31.5">
      <c r="A21" s="10">
        <v>9</v>
      </c>
      <c r="B21" s="14" t="s">
        <v>33</v>
      </c>
      <c r="C21" s="29" t="s">
        <v>224</v>
      </c>
      <c r="D21" s="29" t="s">
        <v>224</v>
      </c>
      <c r="E21" s="29" t="s">
        <v>213</v>
      </c>
      <c r="F21" s="29" t="s">
        <v>213</v>
      </c>
      <c r="G21" s="11" t="s">
        <v>291</v>
      </c>
      <c r="H21" s="34" t="s">
        <v>199</v>
      </c>
      <c r="I21" s="35">
        <v>1</v>
      </c>
      <c r="J21" s="36">
        <v>25000</v>
      </c>
      <c r="K21" s="37">
        <v>25000</v>
      </c>
      <c r="L21" s="38"/>
      <c r="M21" s="38"/>
      <c r="N21" s="38"/>
      <c r="O21" s="32" t="s">
        <v>274</v>
      </c>
      <c r="P21" s="11" t="s">
        <v>305</v>
      </c>
      <c r="Q21" s="32" t="s">
        <v>20</v>
      </c>
      <c r="R21" s="19">
        <v>5</v>
      </c>
    </row>
    <row r="22" spans="1:18" s="5" customFormat="1" ht="31.5">
      <c r="A22" s="10">
        <v>10</v>
      </c>
      <c r="B22" s="14" t="s">
        <v>33</v>
      </c>
      <c r="C22" s="29" t="s">
        <v>214</v>
      </c>
      <c r="D22" s="29" t="s">
        <v>214</v>
      </c>
      <c r="E22" s="29" t="s">
        <v>225</v>
      </c>
      <c r="F22" s="29" t="s">
        <v>214</v>
      </c>
      <c r="G22" s="11" t="s">
        <v>291</v>
      </c>
      <c r="H22" s="34" t="s">
        <v>199</v>
      </c>
      <c r="I22" s="35">
        <v>1</v>
      </c>
      <c r="J22" s="36">
        <v>24000</v>
      </c>
      <c r="K22" s="36">
        <v>24000</v>
      </c>
      <c r="L22" s="38"/>
      <c r="M22" s="38"/>
      <c r="N22" s="38"/>
      <c r="O22" s="32" t="s">
        <v>274</v>
      </c>
      <c r="P22" s="11" t="s">
        <v>305</v>
      </c>
      <c r="Q22" s="32" t="s">
        <v>20</v>
      </c>
      <c r="R22" s="19">
        <v>5</v>
      </c>
    </row>
    <row r="23" spans="1:18" s="5" customFormat="1" ht="31.5">
      <c r="A23" s="10">
        <v>11</v>
      </c>
      <c r="B23" s="14" t="s">
        <v>33</v>
      </c>
      <c r="C23" s="29" t="s">
        <v>226</v>
      </c>
      <c r="D23" s="29" t="s">
        <v>226</v>
      </c>
      <c r="E23" s="29" t="s">
        <v>238</v>
      </c>
      <c r="F23" s="29" t="s">
        <v>215</v>
      </c>
      <c r="G23" s="11" t="s">
        <v>291</v>
      </c>
      <c r="H23" s="34" t="s">
        <v>199</v>
      </c>
      <c r="I23" s="35">
        <v>14</v>
      </c>
      <c r="J23" s="36">
        <v>4730</v>
      </c>
      <c r="K23" s="37">
        <f>I23*J23</f>
        <v>66220</v>
      </c>
      <c r="L23" s="38"/>
      <c r="M23" s="38"/>
      <c r="N23" s="38"/>
      <c r="O23" s="32" t="s">
        <v>274</v>
      </c>
      <c r="P23" s="11" t="s">
        <v>305</v>
      </c>
      <c r="Q23" s="32" t="s">
        <v>20</v>
      </c>
      <c r="R23" s="19">
        <v>5</v>
      </c>
    </row>
    <row r="24" spans="1:18" s="5" customFormat="1" ht="43.15" customHeight="1">
      <c r="A24" s="10">
        <v>12</v>
      </c>
      <c r="B24" s="14" t="s">
        <v>33</v>
      </c>
      <c r="C24" s="29" t="s">
        <v>251</v>
      </c>
      <c r="D24" s="29" t="s">
        <v>251</v>
      </c>
      <c r="E24" s="29" t="s">
        <v>239</v>
      </c>
      <c r="F24" s="29" t="s">
        <v>219</v>
      </c>
      <c r="G24" s="11" t="s">
        <v>291</v>
      </c>
      <c r="H24" s="34" t="s">
        <v>199</v>
      </c>
      <c r="I24" s="35">
        <v>1</v>
      </c>
      <c r="J24" s="36">
        <v>35000</v>
      </c>
      <c r="K24" s="37">
        <v>35000</v>
      </c>
      <c r="L24" s="38"/>
      <c r="M24" s="38"/>
      <c r="N24" s="38"/>
      <c r="O24" s="32" t="s">
        <v>274</v>
      </c>
      <c r="P24" s="11" t="s">
        <v>305</v>
      </c>
      <c r="Q24" s="32" t="s">
        <v>20</v>
      </c>
      <c r="R24" s="19">
        <v>5</v>
      </c>
    </row>
    <row r="25" spans="1:18" s="5" customFormat="1" ht="39" customHeight="1">
      <c r="A25" s="10">
        <v>13</v>
      </c>
      <c r="B25" s="14" t="s">
        <v>33</v>
      </c>
      <c r="C25" s="39" t="s">
        <v>153</v>
      </c>
      <c r="D25" s="39" t="s">
        <v>153</v>
      </c>
      <c r="E25" s="39" t="s">
        <v>240</v>
      </c>
      <c r="F25" s="39" t="s">
        <v>137</v>
      </c>
      <c r="G25" s="11" t="s">
        <v>291</v>
      </c>
      <c r="H25" s="34" t="s">
        <v>35</v>
      </c>
      <c r="I25" s="35">
        <v>1000</v>
      </c>
      <c r="J25" s="36">
        <v>82</v>
      </c>
      <c r="K25" s="37">
        <f>I25*J25</f>
        <v>82000</v>
      </c>
      <c r="L25" s="36"/>
      <c r="M25" s="36"/>
      <c r="N25" s="36"/>
      <c r="O25" s="32" t="s">
        <v>54</v>
      </c>
      <c r="P25" s="31" t="s">
        <v>62</v>
      </c>
      <c r="Q25" s="32" t="s">
        <v>20</v>
      </c>
      <c r="R25" s="19">
        <v>5</v>
      </c>
    </row>
    <row r="26" spans="1:18" s="5" customFormat="1" ht="55.9" customHeight="1">
      <c r="A26" s="10">
        <v>14</v>
      </c>
      <c r="B26" s="14" t="s">
        <v>33</v>
      </c>
      <c r="C26" s="29" t="s">
        <v>128</v>
      </c>
      <c r="D26" s="29" t="s">
        <v>128</v>
      </c>
      <c r="E26" s="29" t="s">
        <v>129</v>
      </c>
      <c r="F26" s="29" t="s">
        <v>130</v>
      </c>
      <c r="G26" s="11" t="s">
        <v>291</v>
      </c>
      <c r="H26" s="34" t="s">
        <v>35</v>
      </c>
      <c r="I26" s="35">
        <v>60</v>
      </c>
      <c r="J26" s="36">
        <v>1200</v>
      </c>
      <c r="K26" s="37">
        <f>I26*J26</f>
        <v>72000</v>
      </c>
      <c r="L26" s="36"/>
      <c r="M26" s="36"/>
      <c r="N26" s="36"/>
      <c r="O26" s="32" t="s">
        <v>92</v>
      </c>
      <c r="P26" s="31" t="s">
        <v>197</v>
      </c>
      <c r="Q26" s="32" t="s">
        <v>20</v>
      </c>
      <c r="R26" s="19">
        <v>100</v>
      </c>
    </row>
    <row r="27" spans="1:18" s="5" customFormat="1" ht="61.9" customHeight="1">
      <c r="A27" s="10">
        <v>15</v>
      </c>
      <c r="B27" s="14" t="s">
        <v>33</v>
      </c>
      <c r="C27" s="29" t="s">
        <v>200</v>
      </c>
      <c r="D27" s="29" t="s">
        <v>200</v>
      </c>
      <c r="E27" s="29" t="s">
        <v>202</v>
      </c>
      <c r="F27" s="29" t="s">
        <v>201</v>
      </c>
      <c r="G27" s="11" t="s">
        <v>291</v>
      </c>
      <c r="H27" s="34" t="s">
        <v>35</v>
      </c>
      <c r="I27" s="35">
        <v>3</v>
      </c>
      <c r="J27" s="36">
        <v>3500</v>
      </c>
      <c r="K27" s="37">
        <f>I27*J27</f>
        <v>10500</v>
      </c>
      <c r="L27" s="36"/>
      <c r="M27" s="36"/>
      <c r="N27" s="36"/>
      <c r="O27" s="32" t="s">
        <v>92</v>
      </c>
      <c r="P27" s="31" t="s">
        <v>80</v>
      </c>
      <c r="Q27" s="32" t="s">
        <v>20</v>
      </c>
      <c r="R27" s="19">
        <v>100</v>
      </c>
    </row>
    <row r="28" spans="1:18" s="6" customFormat="1" ht="63">
      <c r="A28" s="10">
        <v>16</v>
      </c>
      <c r="B28" s="30" t="s">
        <v>13</v>
      </c>
      <c r="C28" s="30" t="s">
        <v>55</v>
      </c>
      <c r="D28" s="30" t="s">
        <v>55</v>
      </c>
      <c r="E28" s="30" t="s">
        <v>222</v>
      </c>
      <c r="F28" s="20" t="s">
        <v>220</v>
      </c>
      <c r="G28" s="21" t="s">
        <v>291</v>
      </c>
      <c r="H28" s="23" t="s">
        <v>17</v>
      </c>
      <c r="I28" s="24">
        <v>1</v>
      </c>
      <c r="J28" s="25">
        <f>120000-45000</f>
        <v>75000</v>
      </c>
      <c r="K28" s="25">
        <f>J28</f>
        <v>75000</v>
      </c>
      <c r="L28" s="22"/>
      <c r="M28" s="22"/>
      <c r="N28" s="22"/>
      <c r="O28" s="27" t="s">
        <v>18</v>
      </c>
      <c r="P28" s="11" t="s">
        <v>275</v>
      </c>
      <c r="Q28" s="12" t="s">
        <v>20</v>
      </c>
      <c r="R28" s="19">
        <v>100</v>
      </c>
    </row>
    <row r="29" spans="1:18" s="6" customFormat="1" ht="63">
      <c r="A29" s="10">
        <v>17</v>
      </c>
      <c r="B29" s="30" t="s">
        <v>13</v>
      </c>
      <c r="C29" s="30" t="s">
        <v>55</v>
      </c>
      <c r="D29" s="30" t="s">
        <v>55</v>
      </c>
      <c r="E29" s="30" t="s">
        <v>223</v>
      </c>
      <c r="F29" s="20" t="s">
        <v>221</v>
      </c>
      <c r="G29" s="21" t="s">
        <v>291</v>
      </c>
      <c r="H29" s="23" t="s">
        <v>17</v>
      </c>
      <c r="I29" s="24">
        <v>1</v>
      </c>
      <c r="J29" s="25">
        <v>123940</v>
      </c>
      <c r="K29" s="25">
        <f>J29</f>
        <v>123940</v>
      </c>
      <c r="L29" s="22"/>
      <c r="M29" s="22"/>
      <c r="N29" s="22"/>
      <c r="O29" s="27" t="s">
        <v>18</v>
      </c>
      <c r="P29" s="11" t="s">
        <v>275</v>
      </c>
      <c r="Q29" s="12" t="s">
        <v>20</v>
      </c>
      <c r="R29" s="19">
        <v>100</v>
      </c>
    </row>
    <row r="30" spans="1:18" s="6" customFormat="1" ht="62.45" customHeight="1">
      <c r="A30" s="10">
        <v>18</v>
      </c>
      <c r="B30" s="30" t="s">
        <v>13</v>
      </c>
      <c r="C30" s="14" t="s">
        <v>55</v>
      </c>
      <c r="D30" s="14" t="s">
        <v>55</v>
      </c>
      <c r="E30" s="14" t="s">
        <v>56</v>
      </c>
      <c r="F30" s="20" t="s">
        <v>56</v>
      </c>
      <c r="G30" s="21" t="s">
        <v>291</v>
      </c>
      <c r="H30" s="23" t="s">
        <v>17</v>
      </c>
      <c r="I30" s="24">
        <v>1</v>
      </c>
      <c r="J30" s="25">
        <f>386600-130000</f>
        <v>256600</v>
      </c>
      <c r="K30" s="25">
        <f>386600-130000</f>
        <v>256600</v>
      </c>
      <c r="L30" s="22"/>
      <c r="M30" s="22"/>
      <c r="N30" s="22"/>
      <c r="O30" s="27" t="s">
        <v>259</v>
      </c>
      <c r="P30" s="21" t="s">
        <v>308</v>
      </c>
      <c r="Q30" s="12" t="s">
        <v>20</v>
      </c>
      <c r="R30" s="19">
        <v>100</v>
      </c>
    </row>
    <row r="31" spans="1:18" s="6" customFormat="1" ht="140.44999999999999" customHeight="1">
      <c r="A31" s="10">
        <v>19</v>
      </c>
      <c r="B31" s="30" t="s">
        <v>13</v>
      </c>
      <c r="C31" s="14" t="s">
        <v>185</v>
      </c>
      <c r="D31" s="14" t="s">
        <v>184</v>
      </c>
      <c r="E31" s="14" t="s">
        <v>57</v>
      </c>
      <c r="F31" s="20" t="s">
        <v>58</v>
      </c>
      <c r="G31" s="21" t="s">
        <v>291</v>
      </c>
      <c r="H31" s="23" t="s">
        <v>17</v>
      </c>
      <c r="I31" s="24">
        <v>1</v>
      </c>
      <c r="J31" s="25">
        <v>130000</v>
      </c>
      <c r="K31" s="25">
        <f>J31</f>
        <v>130000</v>
      </c>
      <c r="L31" s="22"/>
      <c r="M31" s="22"/>
      <c r="N31" s="22"/>
      <c r="O31" s="27" t="s">
        <v>54</v>
      </c>
      <c r="P31" s="21" t="s">
        <v>62</v>
      </c>
      <c r="Q31" s="12" t="s">
        <v>20</v>
      </c>
      <c r="R31" s="19">
        <v>100</v>
      </c>
    </row>
    <row r="32" spans="1:18" s="6" customFormat="1" ht="63">
      <c r="A32" s="10">
        <v>20</v>
      </c>
      <c r="B32" s="30" t="s">
        <v>13</v>
      </c>
      <c r="C32" s="14" t="s">
        <v>55</v>
      </c>
      <c r="D32" s="14" t="s">
        <v>55</v>
      </c>
      <c r="E32" s="14" t="s">
        <v>186</v>
      </c>
      <c r="F32" s="14" t="s">
        <v>59</v>
      </c>
      <c r="G32" s="11" t="s">
        <v>291</v>
      </c>
      <c r="H32" s="15" t="s">
        <v>17</v>
      </c>
      <c r="I32" s="16">
        <v>1</v>
      </c>
      <c r="J32" s="17">
        <v>108000</v>
      </c>
      <c r="K32" s="17">
        <v>108000</v>
      </c>
      <c r="L32" s="13"/>
      <c r="M32" s="13"/>
      <c r="N32" s="13"/>
      <c r="O32" s="12" t="s">
        <v>274</v>
      </c>
      <c r="P32" s="11" t="s">
        <v>262</v>
      </c>
      <c r="Q32" s="12" t="s">
        <v>20</v>
      </c>
      <c r="R32" s="19">
        <v>100</v>
      </c>
    </row>
    <row r="33" spans="1:20" s="6" customFormat="1" ht="94.5">
      <c r="A33" s="10">
        <v>21</v>
      </c>
      <c r="B33" s="30" t="s">
        <v>13</v>
      </c>
      <c r="C33" s="40" t="s">
        <v>55</v>
      </c>
      <c r="D33" s="40" t="s">
        <v>55</v>
      </c>
      <c r="E33" s="40" t="s">
        <v>60</v>
      </c>
      <c r="F33" s="40" t="s">
        <v>60</v>
      </c>
      <c r="G33" s="11" t="s">
        <v>291</v>
      </c>
      <c r="H33" s="15" t="s">
        <v>17</v>
      </c>
      <c r="I33" s="16">
        <v>1</v>
      </c>
      <c r="J33" s="17">
        <v>158400</v>
      </c>
      <c r="K33" s="18">
        <v>158400</v>
      </c>
      <c r="L33" s="13"/>
      <c r="M33" s="13"/>
      <c r="N33" s="13"/>
      <c r="O33" s="12" t="s">
        <v>18</v>
      </c>
      <c r="P33" s="11" t="s">
        <v>262</v>
      </c>
      <c r="Q33" s="12" t="s">
        <v>20</v>
      </c>
      <c r="R33" s="19">
        <v>100</v>
      </c>
      <c r="S33" s="408"/>
    </row>
    <row r="34" spans="1:20" s="6" customFormat="1" ht="110.25">
      <c r="A34" s="10">
        <v>22</v>
      </c>
      <c r="B34" s="30" t="s">
        <v>13</v>
      </c>
      <c r="C34" s="40" t="s">
        <v>55</v>
      </c>
      <c r="D34" s="40" t="s">
        <v>55</v>
      </c>
      <c r="E34" s="40" t="s">
        <v>61</v>
      </c>
      <c r="F34" s="40" t="s">
        <v>61</v>
      </c>
      <c r="G34" s="11" t="s">
        <v>291</v>
      </c>
      <c r="H34" s="15" t="s">
        <v>17</v>
      </c>
      <c r="I34" s="16">
        <v>1</v>
      </c>
      <c r="J34" s="17">
        <f>247500/1.12</f>
        <v>220982.14285714284</v>
      </c>
      <c r="K34" s="18">
        <f>I34*J34</f>
        <v>220982.14285714284</v>
      </c>
      <c r="L34" s="13"/>
      <c r="M34" s="13"/>
      <c r="N34" s="13"/>
      <c r="O34" s="12" t="s">
        <v>18</v>
      </c>
      <c r="P34" s="11" t="s">
        <v>262</v>
      </c>
      <c r="Q34" s="12" t="s">
        <v>20</v>
      </c>
      <c r="R34" s="19">
        <v>100</v>
      </c>
      <c r="S34" s="409"/>
    </row>
    <row r="35" spans="1:20" s="6" customFormat="1" ht="62.45" customHeight="1">
      <c r="A35" s="10">
        <v>23</v>
      </c>
      <c r="B35" s="30" t="s">
        <v>13</v>
      </c>
      <c r="C35" s="14" t="s">
        <v>55</v>
      </c>
      <c r="D35" s="14" t="s">
        <v>55</v>
      </c>
      <c r="E35" s="14" t="s">
        <v>310</v>
      </c>
      <c r="F35" s="14" t="s">
        <v>309</v>
      </c>
      <c r="G35" s="11" t="s">
        <v>291</v>
      </c>
      <c r="H35" s="15" t="s">
        <v>17</v>
      </c>
      <c r="I35" s="16">
        <v>1</v>
      </c>
      <c r="J35" s="17">
        <v>100000</v>
      </c>
      <c r="K35" s="18">
        <v>100000</v>
      </c>
      <c r="L35" s="13"/>
      <c r="M35" s="13"/>
      <c r="N35" s="13"/>
      <c r="O35" s="12" t="s">
        <v>54</v>
      </c>
      <c r="P35" s="11" t="s">
        <v>62</v>
      </c>
      <c r="Q35" s="12" t="s">
        <v>20</v>
      </c>
      <c r="R35" s="19">
        <v>100</v>
      </c>
      <c r="S35" s="73"/>
    </row>
    <row r="36" spans="1:20" s="6" customFormat="1" ht="63">
      <c r="A36" s="10">
        <v>24</v>
      </c>
      <c r="B36" s="76" t="s">
        <v>13</v>
      </c>
      <c r="C36" s="20" t="s">
        <v>55</v>
      </c>
      <c r="D36" s="20" t="s">
        <v>55</v>
      </c>
      <c r="E36" s="20" t="s">
        <v>165</v>
      </c>
      <c r="F36" s="107" t="s">
        <v>63</v>
      </c>
      <c r="G36" s="108" t="s">
        <v>291</v>
      </c>
      <c r="H36" s="109" t="s">
        <v>17</v>
      </c>
      <c r="I36" s="110">
        <v>1</v>
      </c>
      <c r="J36" s="55">
        <f>291600/1.12</f>
        <v>260357.14285714284</v>
      </c>
      <c r="K36" s="89">
        <f>J36</f>
        <v>260357.14285714284</v>
      </c>
      <c r="L36" s="22"/>
      <c r="M36" s="22"/>
      <c r="N36" s="22"/>
      <c r="O36" s="27" t="s">
        <v>18</v>
      </c>
      <c r="P36" s="21" t="s">
        <v>305</v>
      </c>
      <c r="Q36" s="27" t="s">
        <v>20</v>
      </c>
      <c r="R36" s="28">
        <v>100</v>
      </c>
      <c r="S36" s="405"/>
      <c r="T36" s="406"/>
    </row>
    <row r="37" spans="1:20" s="6" customFormat="1" ht="63">
      <c r="A37" s="10">
        <v>25</v>
      </c>
      <c r="B37" s="76" t="s">
        <v>13</v>
      </c>
      <c r="C37" s="20" t="s">
        <v>55</v>
      </c>
      <c r="D37" s="20" t="s">
        <v>55</v>
      </c>
      <c r="E37" s="20" t="s">
        <v>191</v>
      </c>
      <c r="F37" s="107" t="s">
        <v>192</v>
      </c>
      <c r="G37" s="108" t="s">
        <v>291</v>
      </c>
      <c r="H37" s="109" t="s">
        <v>17</v>
      </c>
      <c r="I37" s="110">
        <v>1</v>
      </c>
      <c r="J37" s="55">
        <f>437400/1.12</f>
        <v>390535.71428571426</v>
      </c>
      <c r="K37" s="89">
        <f>J37</f>
        <v>390535.71428571426</v>
      </c>
      <c r="L37" s="22"/>
      <c r="M37" s="22"/>
      <c r="N37" s="22"/>
      <c r="O37" s="27" t="s">
        <v>18</v>
      </c>
      <c r="P37" s="21" t="s">
        <v>305</v>
      </c>
      <c r="Q37" s="27" t="s">
        <v>20</v>
      </c>
      <c r="R37" s="28">
        <v>100</v>
      </c>
      <c r="S37" s="407"/>
      <c r="T37" s="406"/>
    </row>
    <row r="38" spans="1:20" s="6" customFormat="1" ht="62.45" customHeight="1">
      <c r="A38" s="10">
        <v>26</v>
      </c>
      <c r="B38" s="76" t="s">
        <v>13</v>
      </c>
      <c r="C38" s="20" t="s">
        <v>65</v>
      </c>
      <c r="D38" s="20" t="s">
        <v>65</v>
      </c>
      <c r="E38" s="20" t="s">
        <v>66</v>
      </c>
      <c r="F38" s="20" t="s">
        <v>67</v>
      </c>
      <c r="G38" s="21" t="s">
        <v>291</v>
      </c>
      <c r="H38" s="23" t="s">
        <v>17</v>
      </c>
      <c r="I38" s="24">
        <v>1</v>
      </c>
      <c r="J38" s="25">
        <f>1890000-((210000*2)+(210000/22*9))+138000</f>
        <v>1522090.9090909092</v>
      </c>
      <c r="K38" s="26">
        <f>J38</f>
        <v>1522090.9090909092</v>
      </c>
      <c r="L38" s="22"/>
      <c r="M38" s="22"/>
      <c r="N38" s="22"/>
      <c r="O38" s="27" t="s">
        <v>54</v>
      </c>
      <c r="P38" s="21" t="s">
        <v>263</v>
      </c>
      <c r="Q38" s="27" t="s">
        <v>20</v>
      </c>
      <c r="R38" s="28">
        <v>0</v>
      </c>
      <c r="S38" s="74"/>
      <c r="T38" s="75"/>
    </row>
    <row r="39" spans="1:20" s="6" customFormat="1" ht="63">
      <c r="A39" s="10">
        <v>27</v>
      </c>
      <c r="B39" s="14" t="s">
        <v>33</v>
      </c>
      <c r="C39" s="20" t="s">
        <v>264</v>
      </c>
      <c r="D39" s="20" t="s">
        <v>264</v>
      </c>
      <c r="E39" s="20" t="s">
        <v>265</v>
      </c>
      <c r="F39" s="20" t="s">
        <v>266</v>
      </c>
      <c r="G39" s="21" t="s">
        <v>291</v>
      </c>
      <c r="H39" s="15" t="s">
        <v>35</v>
      </c>
      <c r="I39" s="16">
        <v>2</v>
      </c>
      <c r="J39" s="17">
        <v>11900</v>
      </c>
      <c r="K39" s="18">
        <f>I39*J39</f>
        <v>23800</v>
      </c>
      <c r="L39" s="13"/>
      <c r="M39" s="13"/>
      <c r="N39" s="13"/>
      <c r="O39" s="12" t="s">
        <v>274</v>
      </c>
      <c r="P39" s="11" t="s">
        <v>275</v>
      </c>
      <c r="Q39" s="12" t="s">
        <v>20</v>
      </c>
      <c r="R39" s="19">
        <v>100</v>
      </c>
      <c r="S39" s="53"/>
    </row>
    <row r="40" spans="1:20" s="6" customFormat="1" ht="46.9" customHeight="1">
      <c r="A40" s="10">
        <v>28</v>
      </c>
      <c r="B40" s="20" t="s">
        <v>13</v>
      </c>
      <c r="C40" s="20" t="s">
        <v>77</v>
      </c>
      <c r="D40" s="20" t="s">
        <v>77</v>
      </c>
      <c r="E40" s="20" t="s">
        <v>78</v>
      </c>
      <c r="F40" s="20" t="s">
        <v>79</v>
      </c>
      <c r="G40" s="21" t="s">
        <v>291</v>
      </c>
      <c r="H40" s="23" t="s">
        <v>17</v>
      </c>
      <c r="I40" s="24">
        <v>1</v>
      </c>
      <c r="J40" s="17">
        <f>2200000/1.12</f>
        <v>1964285.7142857141</v>
      </c>
      <c r="K40" s="18">
        <f>J40</f>
        <v>1964285.7142857141</v>
      </c>
      <c r="L40" s="13"/>
      <c r="M40" s="13"/>
      <c r="N40" s="13"/>
      <c r="O40" s="12" t="s">
        <v>227</v>
      </c>
      <c r="P40" s="11" t="s">
        <v>275</v>
      </c>
      <c r="Q40" s="12" t="s">
        <v>20</v>
      </c>
      <c r="R40" s="19">
        <v>50</v>
      </c>
    </row>
    <row r="41" spans="1:20" s="6" customFormat="1" ht="109.15" customHeight="1">
      <c r="A41" s="10">
        <v>29</v>
      </c>
      <c r="B41" s="30" t="s">
        <v>13</v>
      </c>
      <c r="C41" s="39" t="s">
        <v>89</v>
      </c>
      <c r="D41" s="39" t="s">
        <v>89</v>
      </c>
      <c r="E41" s="39" t="s">
        <v>90</v>
      </c>
      <c r="F41" s="39" t="s">
        <v>91</v>
      </c>
      <c r="G41" s="11" t="s">
        <v>291</v>
      </c>
      <c r="H41" s="34" t="s">
        <v>17</v>
      </c>
      <c r="I41" s="35">
        <v>1</v>
      </c>
      <c r="J41" s="36">
        <f>230580/1.12</f>
        <v>205874.99999999997</v>
      </c>
      <c r="K41" s="37">
        <f>J41</f>
        <v>205874.99999999997</v>
      </c>
      <c r="L41" s="33"/>
      <c r="M41" s="33"/>
      <c r="N41" s="33"/>
      <c r="O41" s="32" t="s">
        <v>92</v>
      </c>
      <c r="P41" s="31" t="s">
        <v>80</v>
      </c>
      <c r="Q41" s="32" t="s">
        <v>20</v>
      </c>
      <c r="R41" s="41">
        <v>5</v>
      </c>
    </row>
    <row r="42" spans="1:20" s="6" customFormat="1" ht="110.25">
      <c r="A42" s="10">
        <v>30</v>
      </c>
      <c r="B42" s="30" t="s">
        <v>13</v>
      </c>
      <c r="C42" s="39" t="s">
        <v>229</v>
      </c>
      <c r="D42" s="39" t="s">
        <v>229</v>
      </c>
      <c r="E42" s="39" t="s">
        <v>250</v>
      </c>
      <c r="F42" s="39" t="s">
        <v>243</v>
      </c>
      <c r="G42" s="11" t="s">
        <v>291</v>
      </c>
      <c r="H42" s="34" t="s">
        <v>17</v>
      </c>
      <c r="I42" s="35">
        <v>1</v>
      </c>
      <c r="J42" s="36">
        <v>198200</v>
      </c>
      <c r="K42" s="36">
        <f>I42*J42</f>
        <v>198200</v>
      </c>
      <c r="L42" s="33"/>
      <c r="M42" s="33"/>
      <c r="N42" s="33"/>
      <c r="O42" s="27" t="s">
        <v>274</v>
      </c>
      <c r="P42" s="31" t="s">
        <v>19</v>
      </c>
      <c r="Q42" s="32" t="s">
        <v>20</v>
      </c>
      <c r="R42" s="41">
        <v>30</v>
      </c>
    </row>
    <row r="43" spans="1:20" s="6" customFormat="1" ht="47.25">
      <c r="A43" s="10">
        <v>31</v>
      </c>
      <c r="B43" s="30" t="s">
        <v>13</v>
      </c>
      <c r="C43" s="39" t="s">
        <v>230</v>
      </c>
      <c r="D43" s="39" t="s">
        <v>230</v>
      </c>
      <c r="E43" s="39" t="s">
        <v>248</v>
      </c>
      <c r="F43" s="39" t="s">
        <v>244</v>
      </c>
      <c r="G43" s="11" t="s">
        <v>291</v>
      </c>
      <c r="H43" s="34" t="s">
        <v>17</v>
      </c>
      <c r="I43" s="35">
        <v>1</v>
      </c>
      <c r="J43" s="36">
        <v>198200</v>
      </c>
      <c r="K43" s="36">
        <f>I43*J43</f>
        <v>198200</v>
      </c>
      <c r="L43" s="33"/>
      <c r="M43" s="33"/>
      <c r="N43" s="33"/>
      <c r="O43" s="27" t="s">
        <v>274</v>
      </c>
      <c r="P43" s="31" t="s">
        <v>19</v>
      </c>
      <c r="Q43" s="32" t="s">
        <v>20</v>
      </c>
      <c r="R43" s="41">
        <v>30</v>
      </c>
    </row>
    <row r="44" spans="1:20" s="6" customFormat="1" ht="47.25">
      <c r="A44" s="10">
        <v>32</v>
      </c>
      <c r="B44" s="39" t="s">
        <v>13</v>
      </c>
      <c r="C44" s="39" t="s">
        <v>231</v>
      </c>
      <c r="D44" s="39" t="s">
        <v>231</v>
      </c>
      <c r="E44" s="39" t="s">
        <v>249</v>
      </c>
      <c r="F44" s="39" t="s">
        <v>245</v>
      </c>
      <c r="G44" s="11" t="s">
        <v>291</v>
      </c>
      <c r="H44" s="34" t="s">
        <v>17</v>
      </c>
      <c r="I44" s="35">
        <v>1</v>
      </c>
      <c r="J44" s="36">
        <v>198200</v>
      </c>
      <c r="K44" s="36">
        <f>I44*J44</f>
        <v>198200</v>
      </c>
      <c r="L44" s="33"/>
      <c r="M44" s="33"/>
      <c r="N44" s="33"/>
      <c r="O44" s="27" t="s">
        <v>274</v>
      </c>
      <c r="P44" s="31" t="s">
        <v>19</v>
      </c>
      <c r="Q44" s="32" t="s">
        <v>20</v>
      </c>
      <c r="R44" s="41">
        <v>30</v>
      </c>
    </row>
    <row r="45" spans="1:20" s="6" customFormat="1" ht="63">
      <c r="A45" s="10">
        <v>33</v>
      </c>
      <c r="B45" s="39" t="s">
        <v>13</v>
      </c>
      <c r="C45" s="39" t="s">
        <v>36</v>
      </c>
      <c r="D45" s="39" t="s">
        <v>36</v>
      </c>
      <c r="E45" s="39" t="s">
        <v>232</v>
      </c>
      <c r="F45" s="39" t="s">
        <v>233</v>
      </c>
      <c r="G45" s="11" t="s">
        <v>291</v>
      </c>
      <c r="H45" s="34" t="s">
        <v>17</v>
      </c>
      <c r="I45" s="35">
        <v>1</v>
      </c>
      <c r="J45" s="36">
        <v>153100</v>
      </c>
      <c r="K45" s="36">
        <f>J45</f>
        <v>153100</v>
      </c>
      <c r="L45" s="33"/>
      <c r="M45" s="33"/>
      <c r="N45" s="33"/>
      <c r="O45" s="27" t="s">
        <v>274</v>
      </c>
      <c r="P45" s="31" t="s">
        <v>19</v>
      </c>
      <c r="Q45" s="32" t="s">
        <v>20</v>
      </c>
      <c r="R45" s="41">
        <v>100</v>
      </c>
    </row>
    <row r="46" spans="1:20" s="6" customFormat="1" ht="63">
      <c r="A46" s="10">
        <v>34</v>
      </c>
      <c r="B46" s="43" t="s">
        <v>13</v>
      </c>
      <c r="C46" s="39" t="s">
        <v>55</v>
      </c>
      <c r="D46" s="39" t="s">
        <v>55</v>
      </c>
      <c r="E46" s="39" t="s">
        <v>166</v>
      </c>
      <c r="F46" s="39" t="s">
        <v>95</v>
      </c>
      <c r="G46" s="11" t="s">
        <v>291</v>
      </c>
      <c r="H46" s="34" t="s">
        <v>17</v>
      </c>
      <c r="I46" s="35">
        <v>1</v>
      </c>
      <c r="J46" s="36">
        <v>97200</v>
      </c>
      <c r="K46" s="36">
        <v>97200</v>
      </c>
      <c r="L46" s="33"/>
      <c r="M46" s="33"/>
      <c r="N46" s="33"/>
      <c r="O46" s="32" t="s">
        <v>18</v>
      </c>
      <c r="P46" s="31" t="s">
        <v>277</v>
      </c>
      <c r="Q46" s="32" t="s">
        <v>20</v>
      </c>
      <c r="R46" s="41">
        <v>0</v>
      </c>
    </row>
    <row r="47" spans="1:20" s="6" customFormat="1" ht="47.25">
      <c r="A47" s="10">
        <v>35</v>
      </c>
      <c r="B47" s="39" t="s">
        <v>33</v>
      </c>
      <c r="C47" s="39" t="s">
        <v>154</v>
      </c>
      <c r="D47" s="39" t="s">
        <v>154</v>
      </c>
      <c r="E47" s="39" t="s">
        <v>155</v>
      </c>
      <c r="F47" s="39" t="s">
        <v>156</v>
      </c>
      <c r="G47" s="11" t="s">
        <v>289</v>
      </c>
      <c r="H47" s="34" t="s">
        <v>35</v>
      </c>
      <c r="I47" s="35">
        <v>10</v>
      </c>
      <c r="J47" s="36">
        <f>271841.4/1.12</f>
        <v>242715.53571428571</v>
      </c>
      <c r="K47" s="37">
        <f>I47*J47</f>
        <v>2427155.3571428573</v>
      </c>
      <c r="L47" s="33"/>
      <c r="M47" s="33"/>
      <c r="N47" s="33"/>
      <c r="O47" s="32" t="s">
        <v>18</v>
      </c>
      <c r="P47" s="31" t="s">
        <v>157</v>
      </c>
      <c r="Q47" s="32" t="s">
        <v>20</v>
      </c>
      <c r="R47" s="41">
        <v>5</v>
      </c>
    </row>
    <row r="48" spans="1:20" s="5" customFormat="1" ht="47.25">
      <c r="A48" s="10">
        <v>36</v>
      </c>
      <c r="B48" s="39" t="s">
        <v>33</v>
      </c>
      <c r="C48" s="39" t="s">
        <v>158</v>
      </c>
      <c r="D48" s="39" t="s">
        <v>158</v>
      </c>
      <c r="E48" s="39" t="s">
        <v>100</v>
      </c>
      <c r="F48" s="39" t="s">
        <v>100</v>
      </c>
      <c r="G48" s="31" t="s">
        <v>289</v>
      </c>
      <c r="H48" s="34" t="s">
        <v>35</v>
      </c>
      <c r="I48" s="35">
        <v>33</v>
      </c>
      <c r="J48" s="36">
        <f>9687.6/1.12</f>
        <v>8649.6428571428569</v>
      </c>
      <c r="K48" s="36">
        <f t="shared" ref="K48:K77" si="0">I48*J48</f>
        <v>285438.21428571426</v>
      </c>
      <c r="L48" s="33"/>
      <c r="M48" s="33"/>
      <c r="N48" s="33"/>
      <c r="O48" s="32" t="s">
        <v>18</v>
      </c>
      <c r="P48" s="31" t="s">
        <v>277</v>
      </c>
      <c r="Q48" s="32" t="s">
        <v>20</v>
      </c>
      <c r="R48" s="41">
        <v>5</v>
      </c>
    </row>
    <row r="49" spans="1:18" s="5" customFormat="1" ht="47.25">
      <c r="A49" s="10">
        <v>37</v>
      </c>
      <c r="B49" s="39" t="s">
        <v>33</v>
      </c>
      <c r="C49" s="39" t="s">
        <v>158</v>
      </c>
      <c r="D49" s="39" t="s">
        <v>158</v>
      </c>
      <c r="E49" s="39" t="s">
        <v>101</v>
      </c>
      <c r="F49" s="39" t="s">
        <v>101</v>
      </c>
      <c r="G49" s="31" t="s">
        <v>289</v>
      </c>
      <c r="H49" s="34" t="s">
        <v>35</v>
      </c>
      <c r="I49" s="35">
        <v>17</v>
      </c>
      <c r="J49" s="36">
        <f>29073.6/1.12</f>
        <v>25958.571428571424</v>
      </c>
      <c r="K49" s="36">
        <f t="shared" si="0"/>
        <v>441295.7142857142</v>
      </c>
      <c r="L49" s="33"/>
      <c r="M49" s="33"/>
      <c r="N49" s="33"/>
      <c r="O49" s="32" t="s">
        <v>18</v>
      </c>
      <c r="P49" s="31" t="s">
        <v>277</v>
      </c>
      <c r="Q49" s="32" t="s">
        <v>20</v>
      </c>
      <c r="R49" s="41">
        <v>5</v>
      </c>
    </row>
    <row r="50" spans="1:18" s="5" customFormat="1" ht="47.25">
      <c r="A50" s="10">
        <v>38</v>
      </c>
      <c r="B50" s="39" t="s">
        <v>33</v>
      </c>
      <c r="C50" s="39" t="s">
        <v>158</v>
      </c>
      <c r="D50" s="39" t="s">
        <v>158</v>
      </c>
      <c r="E50" s="39" t="s">
        <v>102</v>
      </c>
      <c r="F50" s="39" t="s">
        <v>102</v>
      </c>
      <c r="G50" s="31" t="s">
        <v>289</v>
      </c>
      <c r="H50" s="34" t="s">
        <v>35</v>
      </c>
      <c r="I50" s="35">
        <v>5</v>
      </c>
      <c r="J50" s="36">
        <f>604800/1.12</f>
        <v>540000</v>
      </c>
      <c r="K50" s="36">
        <f t="shared" si="0"/>
        <v>2700000</v>
      </c>
      <c r="L50" s="33"/>
      <c r="M50" s="33"/>
      <c r="N50" s="33"/>
      <c r="O50" s="32" t="s">
        <v>18</v>
      </c>
      <c r="P50" s="31" t="s">
        <v>277</v>
      </c>
      <c r="Q50" s="32" t="s">
        <v>20</v>
      </c>
      <c r="R50" s="41">
        <v>5</v>
      </c>
    </row>
    <row r="51" spans="1:18" s="5" customFormat="1" ht="47.25">
      <c r="A51" s="10">
        <v>39</v>
      </c>
      <c r="B51" s="39" t="s">
        <v>33</v>
      </c>
      <c r="C51" s="39" t="s">
        <v>158</v>
      </c>
      <c r="D51" s="39" t="s">
        <v>158</v>
      </c>
      <c r="E51" s="39" t="s">
        <v>103</v>
      </c>
      <c r="F51" s="39" t="s">
        <v>103</v>
      </c>
      <c r="G51" s="31" t="s">
        <v>289</v>
      </c>
      <c r="H51" s="34" t="s">
        <v>35</v>
      </c>
      <c r="I51" s="35">
        <v>33</v>
      </c>
      <c r="J51" s="36">
        <f>8640/1.12</f>
        <v>7714.2857142857138</v>
      </c>
      <c r="K51" s="36">
        <f t="shared" si="0"/>
        <v>254571.42857142855</v>
      </c>
      <c r="L51" s="33"/>
      <c r="M51" s="33"/>
      <c r="N51" s="33"/>
      <c r="O51" s="32" t="s">
        <v>18</v>
      </c>
      <c r="P51" s="31" t="s">
        <v>277</v>
      </c>
      <c r="Q51" s="32" t="s">
        <v>20</v>
      </c>
      <c r="R51" s="41">
        <v>5</v>
      </c>
    </row>
    <row r="52" spans="1:18" s="5" customFormat="1" ht="47.25">
      <c r="A52" s="10">
        <v>40</v>
      </c>
      <c r="B52" s="39" t="s">
        <v>33</v>
      </c>
      <c r="C52" s="39" t="s">
        <v>158</v>
      </c>
      <c r="D52" s="39" t="s">
        <v>158</v>
      </c>
      <c r="E52" s="39" t="s">
        <v>104</v>
      </c>
      <c r="F52" s="39" t="s">
        <v>104</v>
      </c>
      <c r="G52" s="31" t="s">
        <v>289</v>
      </c>
      <c r="H52" s="34" t="s">
        <v>35</v>
      </c>
      <c r="I52" s="35">
        <v>17</v>
      </c>
      <c r="J52" s="36">
        <f>25509.6/1.12</f>
        <v>22776.428571428569</v>
      </c>
      <c r="K52" s="36">
        <f t="shared" si="0"/>
        <v>387199.28571428568</v>
      </c>
      <c r="L52" s="33"/>
      <c r="M52" s="33"/>
      <c r="N52" s="33"/>
      <c r="O52" s="32" t="s">
        <v>18</v>
      </c>
      <c r="P52" s="31" t="s">
        <v>277</v>
      </c>
      <c r="Q52" s="32" t="s">
        <v>20</v>
      </c>
      <c r="R52" s="41">
        <v>5</v>
      </c>
    </row>
    <row r="53" spans="1:18" s="5" customFormat="1" ht="47.25">
      <c r="A53" s="10">
        <v>41</v>
      </c>
      <c r="B53" s="39" t="s">
        <v>33</v>
      </c>
      <c r="C53" s="39" t="s">
        <v>158</v>
      </c>
      <c r="D53" s="39" t="s">
        <v>158</v>
      </c>
      <c r="E53" s="39" t="s">
        <v>105</v>
      </c>
      <c r="F53" s="39" t="s">
        <v>105</v>
      </c>
      <c r="G53" s="31" t="s">
        <v>289</v>
      </c>
      <c r="H53" s="34" t="s">
        <v>35</v>
      </c>
      <c r="I53" s="35">
        <v>27</v>
      </c>
      <c r="J53" s="36">
        <f>18360/1.12</f>
        <v>16392.857142857141</v>
      </c>
      <c r="K53" s="36">
        <f t="shared" si="0"/>
        <v>442607.14285714284</v>
      </c>
      <c r="L53" s="33"/>
      <c r="M53" s="33"/>
      <c r="N53" s="33"/>
      <c r="O53" s="32" t="s">
        <v>18</v>
      </c>
      <c r="P53" s="31" t="s">
        <v>277</v>
      </c>
      <c r="Q53" s="32" t="s">
        <v>20</v>
      </c>
      <c r="R53" s="41">
        <v>5</v>
      </c>
    </row>
    <row r="54" spans="1:18" s="5" customFormat="1" ht="47.25">
      <c r="A54" s="10">
        <v>42</v>
      </c>
      <c r="B54" s="39" t="s">
        <v>33</v>
      </c>
      <c r="C54" s="39" t="s">
        <v>158</v>
      </c>
      <c r="D54" s="39" t="s">
        <v>158</v>
      </c>
      <c r="E54" s="39" t="s">
        <v>106</v>
      </c>
      <c r="F54" s="39" t="s">
        <v>106</v>
      </c>
      <c r="G54" s="31" t="s">
        <v>289</v>
      </c>
      <c r="H54" s="34" t="s">
        <v>35</v>
      </c>
      <c r="I54" s="35">
        <v>17</v>
      </c>
      <c r="J54" s="36">
        <f>55868.4/1.12</f>
        <v>49882.5</v>
      </c>
      <c r="K54" s="36">
        <f t="shared" si="0"/>
        <v>848002.5</v>
      </c>
      <c r="L54" s="33"/>
      <c r="M54" s="33"/>
      <c r="N54" s="33"/>
      <c r="O54" s="32" t="s">
        <v>18</v>
      </c>
      <c r="P54" s="31" t="s">
        <v>277</v>
      </c>
      <c r="Q54" s="32" t="s">
        <v>20</v>
      </c>
      <c r="R54" s="41">
        <v>5</v>
      </c>
    </row>
    <row r="55" spans="1:18" s="5" customFormat="1" ht="47.25">
      <c r="A55" s="10">
        <v>43</v>
      </c>
      <c r="B55" s="39" t="s">
        <v>33</v>
      </c>
      <c r="C55" s="39" t="s">
        <v>158</v>
      </c>
      <c r="D55" s="39" t="s">
        <v>158</v>
      </c>
      <c r="E55" s="39" t="s">
        <v>107</v>
      </c>
      <c r="F55" s="39" t="s">
        <v>107</v>
      </c>
      <c r="G55" s="31" t="s">
        <v>289</v>
      </c>
      <c r="H55" s="34" t="s">
        <v>35</v>
      </c>
      <c r="I55" s="35">
        <v>2</v>
      </c>
      <c r="J55" s="36">
        <f>756000/1.12</f>
        <v>674999.99999999988</v>
      </c>
      <c r="K55" s="36">
        <f t="shared" si="0"/>
        <v>1349999.9999999998</v>
      </c>
      <c r="L55" s="33"/>
      <c r="M55" s="33"/>
      <c r="N55" s="33"/>
      <c r="O55" s="32" t="s">
        <v>18</v>
      </c>
      <c r="P55" s="31" t="s">
        <v>277</v>
      </c>
      <c r="Q55" s="32" t="s">
        <v>20</v>
      </c>
      <c r="R55" s="41">
        <v>5</v>
      </c>
    </row>
    <row r="56" spans="1:18" s="5" customFormat="1" ht="47.25">
      <c r="A56" s="10">
        <v>44</v>
      </c>
      <c r="B56" s="39" t="s">
        <v>33</v>
      </c>
      <c r="C56" s="39" t="s">
        <v>158</v>
      </c>
      <c r="D56" s="39" t="s">
        <v>158</v>
      </c>
      <c r="E56" s="39" t="s">
        <v>108</v>
      </c>
      <c r="F56" s="39" t="s">
        <v>108</v>
      </c>
      <c r="G56" s="31" t="s">
        <v>289</v>
      </c>
      <c r="H56" s="34" t="s">
        <v>35</v>
      </c>
      <c r="I56" s="35">
        <v>6</v>
      </c>
      <c r="J56" s="36">
        <f>1188000/1.12</f>
        <v>1060714.2857142857</v>
      </c>
      <c r="K56" s="36">
        <f t="shared" si="0"/>
        <v>6364285.7142857146</v>
      </c>
      <c r="L56" s="33"/>
      <c r="M56" s="33"/>
      <c r="N56" s="33"/>
      <c r="O56" s="32" t="s">
        <v>18</v>
      </c>
      <c r="P56" s="31" t="s">
        <v>277</v>
      </c>
      <c r="Q56" s="32" t="s">
        <v>20</v>
      </c>
      <c r="R56" s="41">
        <v>5</v>
      </c>
    </row>
    <row r="57" spans="1:18" s="5" customFormat="1" ht="47.25">
      <c r="A57" s="10">
        <v>45</v>
      </c>
      <c r="B57" s="39" t="s">
        <v>33</v>
      </c>
      <c r="C57" s="39" t="s">
        <v>158</v>
      </c>
      <c r="D57" s="39" t="s">
        <v>158</v>
      </c>
      <c r="E57" s="39" t="s">
        <v>109</v>
      </c>
      <c r="F57" s="39" t="s">
        <v>109</v>
      </c>
      <c r="G57" s="31" t="s">
        <v>289</v>
      </c>
      <c r="H57" s="34" t="s">
        <v>35</v>
      </c>
      <c r="I57" s="35">
        <v>5</v>
      </c>
      <c r="J57" s="36">
        <f>75600/1.12</f>
        <v>67500</v>
      </c>
      <c r="K57" s="36">
        <f t="shared" si="0"/>
        <v>337500</v>
      </c>
      <c r="L57" s="33"/>
      <c r="M57" s="33"/>
      <c r="N57" s="33"/>
      <c r="O57" s="32" t="s">
        <v>18</v>
      </c>
      <c r="P57" s="31" t="s">
        <v>277</v>
      </c>
      <c r="Q57" s="32" t="s">
        <v>20</v>
      </c>
      <c r="R57" s="41">
        <v>5</v>
      </c>
    </row>
    <row r="58" spans="1:18" s="5" customFormat="1" ht="47.25">
      <c r="A58" s="10">
        <v>46</v>
      </c>
      <c r="B58" s="39" t="s">
        <v>33</v>
      </c>
      <c r="C58" s="39" t="s">
        <v>158</v>
      </c>
      <c r="D58" s="39" t="s">
        <v>158</v>
      </c>
      <c r="E58" s="39" t="s">
        <v>110</v>
      </c>
      <c r="F58" s="39" t="s">
        <v>110</v>
      </c>
      <c r="G58" s="31" t="s">
        <v>289</v>
      </c>
      <c r="H58" s="34" t="s">
        <v>35</v>
      </c>
      <c r="I58" s="35">
        <v>27</v>
      </c>
      <c r="J58" s="36">
        <f>3024/1.12</f>
        <v>2699.9999999999995</v>
      </c>
      <c r="K58" s="36">
        <f t="shared" si="0"/>
        <v>72899.999999999985</v>
      </c>
      <c r="L58" s="33"/>
      <c r="M58" s="33"/>
      <c r="N58" s="33"/>
      <c r="O58" s="32" t="s">
        <v>18</v>
      </c>
      <c r="P58" s="31" t="s">
        <v>277</v>
      </c>
      <c r="Q58" s="32" t="s">
        <v>20</v>
      </c>
      <c r="R58" s="41">
        <v>5</v>
      </c>
    </row>
    <row r="59" spans="1:18" s="5" customFormat="1" ht="47.25">
      <c r="A59" s="10">
        <v>47</v>
      </c>
      <c r="B59" s="39" t="s">
        <v>33</v>
      </c>
      <c r="C59" s="39" t="s">
        <v>158</v>
      </c>
      <c r="D59" s="39" t="s">
        <v>158</v>
      </c>
      <c r="E59" s="39" t="s">
        <v>111</v>
      </c>
      <c r="F59" s="39" t="s">
        <v>111</v>
      </c>
      <c r="G59" s="31" t="s">
        <v>289</v>
      </c>
      <c r="H59" s="34" t="s">
        <v>35</v>
      </c>
      <c r="I59" s="35">
        <v>23</v>
      </c>
      <c r="J59" s="36">
        <f>9180/1.12</f>
        <v>8196.4285714285706</v>
      </c>
      <c r="K59" s="36">
        <f t="shared" si="0"/>
        <v>188517.85714285713</v>
      </c>
      <c r="L59" s="33"/>
      <c r="M59" s="33"/>
      <c r="N59" s="33"/>
      <c r="O59" s="32" t="s">
        <v>18</v>
      </c>
      <c r="P59" s="31" t="s">
        <v>277</v>
      </c>
      <c r="Q59" s="32" t="s">
        <v>20</v>
      </c>
      <c r="R59" s="41">
        <v>5</v>
      </c>
    </row>
    <row r="60" spans="1:18" s="5" customFormat="1" ht="47.25">
      <c r="A60" s="10">
        <v>48</v>
      </c>
      <c r="B60" s="39" t="s">
        <v>33</v>
      </c>
      <c r="C60" s="39" t="s">
        <v>158</v>
      </c>
      <c r="D60" s="39" t="s">
        <v>158</v>
      </c>
      <c r="E60" s="39" t="s">
        <v>112</v>
      </c>
      <c r="F60" s="39" t="s">
        <v>112</v>
      </c>
      <c r="G60" s="31" t="s">
        <v>289</v>
      </c>
      <c r="H60" s="34" t="s">
        <v>35</v>
      </c>
      <c r="I60" s="35">
        <v>37</v>
      </c>
      <c r="J60" s="36">
        <f>41040/1.12</f>
        <v>36642.857142857138</v>
      </c>
      <c r="K60" s="36">
        <f t="shared" si="0"/>
        <v>1355785.7142857141</v>
      </c>
      <c r="L60" s="33"/>
      <c r="M60" s="33"/>
      <c r="N60" s="33"/>
      <c r="O60" s="32" t="s">
        <v>18</v>
      </c>
      <c r="P60" s="31" t="s">
        <v>277</v>
      </c>
      <c r="Q60" s="32" t="s">
        <v>20</v>
      </c>
      <c r="R60" s="41">
        <v>5</v>
      </c>
    </row>
    <row r="61" spans="1:18" s="5" customFormat="1" ht="63">
      <c r="A61" s="10">
        <v>49</v>
      </c>
      <c r="B61" s="39" t="s">
        <v>33</v>
      </c>
      <c r="C61" s="39" t="s">
        <v>158</v>
      </c>
      <c r="D61" s="39" t="s">
        <v>158</v>
      </c>
      <c r="E61" s="39" t="s">
        <v>279</v>
      </c>
      <c r="F61" s="39" t="s">
        <v>304</v>
      </c>
      <c r="G61" s="31" t="s">
        <v>289</v>
      </c>
      <c r="H61" s="34" t="s">
        <v>35</v>
      </c>
      <c r="I61" s="35">
        <v>13</v>
      </c>
      <c r="J61" s="36">
        <v>45900</v>
      </c>
      <c r="K61" s="36">
        <f t="shared" si="0"/>
        <v>596700</v>
      </c>
      <c r="L61" s="33"/>
      <c r="M61" s="33"/>
      <c r="N61" s="33"/>
      <c r="O61" s="32" t="s">
        <v>18</v>
      </c>
      <c r="P61" s="31" t="s">
        <v>277</v>
      </c>
      <c r="Q61" s="32" t="s">
        <v>20</v>
      </c>
      <c r="R61" s="41">
        <v>5</v>
      </c>
    </row>
    <row r="62" spans="1:18" s="5" customFormat="1" ht="47.25">
      <c r="A62" s="10">
        <v>50</v>
      </c>
      <c r="B62" s="39" t="s">
        <v>33</v>
      </c>
      <c r="C62" s="39" t="s">
        <v>158</v>
      </c>
      <c r="D62" s="39" t="s">
        <v>158</v>
      </c>
      <c r="E62" s="39" t="s">
        <v>113</v>
      </c>
      <c r="F62" s="39" t="s">
        <v>113</v>
      </c>
      <c r="G62" s="31" t="s">
        <v>289</v>
      </c>
      <c r="H62" s="34" t="s">
        <v>35</v>
      </c>
      <c r="I62" s="35">
        <v>1</v>
      </c>
      <c r="J62" s="36">
        <f>2538000/1.12</f>
        <v>2266071.4285714282</v>
      </c>
      <c r="K62" s="36">
        <f t="shared" si="0"/>
        <v>2266071.4285714282</v>
      </c>
      <c r="L62" s="33"/>
      <c r="M62" s="33"/>
      <c r="N62" s="33"/>
      <c r="O62" s="32" t="s">
        <v>18</v>
      </c>
      <c r="P62" s="31" t="s">
        <v>277</v>
      </c>
      <c r="Q62" s="32" t="s">
        <v>20</v>
      </c>
      <c r="R62" s="41">
        <v>5</v>
      </c>
    </row>
    <row r="63" spans="1:18" s="5" customFormat="1" ht="63">
      <c r="A63" s="10">
        <v>51</v>
      </c>
      <c r="B63" s="39" t="s">
        <v>33</v>
      </c>
      <c r="C63" s="39" t="s">
        <v>158</v>
      </c>
      <c r="D63" s="39" t="s">
        <v>158</v>
      </c>
      <c r="E63" s="39" t="s">
        <v>114</v>
      </c>
      <c r="F63" s="39" t="s">
        <v>114</v>
      </c>
      <c r="G63" s="31" t="s">
        <v>289</v>
      </c>
      <c r="H63" s="34" t="s">
        <v>35</v>
      </c>
      <c r="I63" s="35">
        <v>27</v>
      </c>
      <c r="J63" s="36">
        <f>39960/1.12</f>
        <v>35678.571428571428</v>
      </c>
      <c r="K63" s="36">
        <f t="shared" si="0"/>
        <v>963321.42857142852</v>
      </c>
      <c r="L63" s="33"/>
      <c r="M63" s="33"/>
      <c r="N63" s="33"/>
      <c r="O63" s="32" t="s">
        <v>18</v>
      </c>
      <c r="P63" s="31" t="s">
        <v>277</v>
      </c>
      <c r="Q63" s="32" t="s">
        <v>20</v>
      </c>
      <c r="R63" s="41">
        <v>5</v>
      </c>
    </row>
    <row r="64" spans="1:18" s="5" customFormat="1" ht="47.25">
      <c r="A64" s="10">
        <v>52</v>
      </c>
      <c r="B64" s="39" t="s">
        <v>33</v>
      </c>
      <c r="C64" s="39" t="s">
        <v>158</v>
      </c>
      <c r="D64" s="39" t="s">
        <v>158</v>
      </c>
      <c r="E64" s="39" t="s">
        <v>115</v>
      </c>
      <c r="F64" s="39" t="s">
        <v>115</v>
      </c>
      <c r="G64" s="31" t="s">
        <v>289</v>
      </c>
      <c r="H64" s="34" t="s">
        <v>35</v>
      </c>
      <c r="I64" s="35">
        <v>23</v>
      </c>
      <c r="J64" s="36">
        <f>37800/1.12</f>
        <v>33750</v>
      </c>
      <c r="K64" s="36">
        <f t="shared" si="0"/>
        <v>776250</v>
      </c>
      <c r="L64" s="33"/>
      <c r="M64" s="33"/>
      <c r="N64" s="33"/>
      <c r="O64" s="32" t="s">
        <v>18</v>
      </c>
      <c r="P64" s="31" t="s">
        <v>277</v>
      </c>
      <c r="Q64" s="32" t="s">
        <v>20</v>
      </c>
      <c r="R64" s="41">
        <v>5</v>
      </c>
    </row>
    <row r="65" spans="1:18" s="5" customFormat="1" ht="47.25">
      <c r="A65" s="10">
        <v>53</v>
      </c>
      <c r="B65" s="39" t="s">
        <v>33</v>
      </c>
      <c r="C65" s="39" t="s">
        <v>158</v>
      </c>
      <c r="D65" s="39" t="s">
        <v>158</v>
      </c>
      <c r="E65" s="39" t="s">
        <v>116</v>
      </c>
      <c r="F65" s="39" t="s">
        <v>116</v>
      </c>
      <c r="G65" s="31" t="s">
        <v>289</v>
      </c>
      <c r="H65" s="34" t="s">
        <v>35</v>
      </c>
      <c r="I65" s="35">
        <v>15</v>
      </c>
      <c r="J65" s="36">
        <f>3365.28/1.12</f>
        <v>3004.7142857142858</v>
      </c>
      <c r="K65" s="36">
        <f t="shared" si="0"/>
        <v>45070.71428571429</v>
      </c>
      <c r="L65" s="33"/>
      <c r="M65" s="33"/>
      <c r="N65" s="33"/>
      <c r="O65" s="32" t="s">
        <v>18</v>
      </c>
      <c r="P65" s="31" t="s">
        <v>277</v>
      </c>
      <c r="Q65" s="32" t="s">
        <v>20</v>
      </c>
      <c r="R65" s="41">
        <v>5</v>
      </c>
    </row>
    <row r="66" spans="1:18" s="5" customFormat="1" ht="47.25">
      <c r="A66" s="10">
        <v>54</v>
      </c>
      <c r="B66" s="39" t="s">
        <v>33</v>
      </c>
      <c r="C66" s="39" t="s">
        <v>158</v>
      </c>
      <c r="D66" s="39" t="s">
        <v>158</v>
      </c>
      <c r="E66" s="39" t="s">
        <v>117</v>
      </c>
      <c r="F66" s="39" t="s">
        <v>117</v>
      </c>
      <c r="G66" s="11" t="s">
        <v>291</v>
      </c>
      <c r="H66" s="34" t="s">
        <v>35</v>
      </c>
      <c r="I66" s="35">
        <v>1</v>
      </c>
      <c r="J66" s="36">
        <f>27646.92/1.12</f>
        <v>24684.749999999996</v>
      </c>
      <c r="K66" s="36">
        <f t="shared" si="0"/>
        <v>24684.749999999996</v>
      </c>
      <c r="L66" s="33"/>
      <c r="M66" s="33"/>
      <c r="N66" s="33"/>
      <c r="O66" s="32" t="s">
        <v>18</v>
      </c>
      <c r="P66" s="31" t="s">
        <v>277</v>
      </c>
      <c r="Q66" s="32" t="s">
        <v>20</v>
      </c>
      <c r="R66" s="41">
        <v>5</v>
      </c>
    </row>
    <row r="67" spans="1:18" s="5" customFormat="1" ht="31.15" customHeight="1">
      <c r="A67" s="10">
        <v>55</v>
      </c>
      <c r="B67" s="39" t="s">
        <v>33</v>
      </c>
      <c r="C67" s="39" t="s">
        <v>159</v>
      </c>
      <c r="D67" s="39" t="s">
        <v>159</v>
      </c>
      <c r="E67" s="39" t="s">
        <v>159</v>
      </c>
      <c r="F67" s="39" t="s">
        <v>159</v>
      </c>
      <c r="G67" s="31" t="s">
        <v>289</v>
      </c>
      <c r="H67" s="34" t="s">
        <v>35</v>
      </c>
      <c r="I67" s="35">
        <v>20</v>
      </c>
      <c r="J67" s="36">
        <f>34271/1.12</f>
        <v>30599.107142857141</v>
      </c>
      <c r="K67" s="88">
        <f t="shared" si="0"/>
        <v>611982.14285714284</v>
      </c>
      <c r="L67" s="33"/>
      <c r="M67" s="33"/>
      <c r="N67" s="33"/>
      <c r="O67" s="32" t="s">
        <v>54</v>
      </c>
      <c r="P67" s="31" t="s">
        <v>62</v>
      </c>
      <c r="Q67" s="32" t="s">
        <v>20</v>
      </c>
      <c r="R67" s="41">
        <v>5</v>
      </c>
    </row>
    <row r="68" spans="1:18" s="5" customFormat="1" ht="31.15" customHeight="1">
      <c r="A68" s="10">
        <v>56</v>
      </c>
      <c r="B68" s="39" t="s">
        <v>33</v>
      </c>
      <c r="C68" s="39" t="s">
        <v>160</v>
      </c>
      <c r="D68" s="39" t="s">
        <v>160</v>
      </c>
      <c r="E68" s="39" t="s">
        <v>161</v>
      </c>
      <c r="F68" s="39" t="s">
        <v>119</v>
      </c>
      <c r="G68" s="31" t="s">
        <v>289</v>
      </c>
      <c r="H68" s="34" t="s">
        <v>35</v>
      </c>
      <c r="I68" s="35">
        <v>6</v>
      </c>
      <c r="J68" s="36">
        <f>127619/1.12</f>
        <v>113945.53571428571</v>
      </c>
      <c r="K68" s="88">
        <f t="shared" si="0"/>
        <v>683673.21428571432</v>
      </c>
      <c r="L68" s="33"/>
      <c r="M68" s="33"/>
      <c r="N68" s="33"/>
      <c r="O68" s="32" t="s">
        <v>54</v>
      </c>
      <c r="P68" s="31" t="s">
        <v>62</v>
      </c>
      <c r="Q68" s="32" t="s">
        <v>20</v>
      </c>
      <c r="R68" s="41">
        <v>5</v>
      </c>
    </row>
    <row r="69" spans="1:18" s="5" customFormat="1" ht="31.15" customHeight="1">
      <c r="A69" s="10">
        <v>57</v>
      </c>
      <c r="B69" s="39" t="s">
        <v>33</v>
      </c>
      <c r="C69" s="39" t="s">
        <v>162</v>
      </c>
      <c r="D69" s="39" t="s">
        <v>162</v>
      </c>
      <c r="E69" s="39" t="s">
        <v>163</v>
      </c>
      <c r="F69" s="39" t="s">
        <v>120</v>
      </c>
      <c r="G69" s="31" t="s">
        <v>290</v>
      </c>
      <c r="H69" s="34" t="s">
        <v>35</v>
      </c>
      <c r="I69" s="35">
        <v>10</v>
      </c>
      <c r="J69" s="36">
        <f>102465/1.12</f>
        <v>91486.60714285713</v>
      </c>
      <c r="K69" s="88">
        <f t="shared" si="0"/>
        <v>914866.07142857136</v>
      </c>
      <c r="L69" s="33"/>
      <c r="M69" s="33"/>
      <c r="N69" s="33"/>
      <c r="O69" s="32" t="s">
        <v>54</v>
      </c>
      <c r="P69" s="31" t="s">
        <v>62</v>
      </c>
      <c r="Q69" s="32" t="s">
        <v>20</v>
      </c>
      <c r="R69" s="41">
        <v>5</v>
      </c>
    </row>
    <row r="70" spans="1:18" s="5" customFormat="1" ht="31.15" customHeight="1">
      <c r="A70" s="10">
        <v>58</v>
      </c>
      <c r="B70" s="39" t="s">
        <v>33</v>
      </c>
      <c r="C70" s="39" t="s">
        <v>162</v>
      </c>
      <c r="D70" s="39" t="s">
        <v>162</v>
      </c>
      <c r="E70" s="39" t="s">
        <v>121</v>
      </c>
      <c r="F70" s="39" t="s">
        <v>121</v>
      </c>
      <c r="G70" s="31" t="s">
        <v>289</v>
      </c>
      <c r="H70" s="34" t="s">
        <v>35</v>
      </c>
      <c r="I70" s="35">
        <v>10</v>
      </c>
      <c r="J70" s="36">
        <f>71370/1.12</f>
        <v>63723.214285714283</v>
      </c>
      <c r="K70" s="88">
        <f t="shared" si="0"/>
        <v>637232.14285714284</v>
      </c>
      <c r="L70" s="33"/>
      <c r="M70" s="33"/>
      <c r="N70" s="33"/>
      <c r="O70" s="32" t="s">
        <v>54</v>
      </c>
      <c r="P70" s="31" t="s">
        <v>62</v>
      </c>
      <c r="Q70" s="32" t="s">
        <v>20</v>
      </c>
      <c r="R70" s="41">
        <v>5</v>
      </c>
    </row>
    <row r="71" spans="1:18" s="5" customFormat="1" ht="31.15" customHeight="1">
      <c r="A71" s="10">
        <v>59</v>
      </c>
      <c r="B71" s="39" t="s">
        <v>33</v>
      </c>
      <c r="C71" s="39" t="s">
        <v>118</v>
      </c>
      <c r="D71" s="39" t="s">
        <v>118</v>
      </c>
      <c r="E71" s="39" t="s">
        <v>194</v>
      </c>
      <c r="F71" s="39" t="s">
        <v>193</v>
      </c>
      <c r="G71" s="31" t="s">
        <v>289</v>
      </c>
      <c r="H71" s="34" t="s">
        <v>35</v>
      </c>
      <c r="I71" s="35">
        <v>20</v>
      </c>
      <c r="J71" s="36">
        <f>56190/1.12</f>
        <v>50169.642857142855</v>
      </c>
      <c r="K71" s="88">
        <f t="shared" si="0"/>
        <v>1003392.857142857</v>
      </c>
      <c r="L71" s="33"/>
      <c r="M71" s="33"/>
      <c r="N71" s="33"/>
      <c r="O71" s="32" t="s">
        <v>54</v>
      </c>
      <c r="P71" s="31" t="s">
        <v>62</v>
      </c>
      <c r="Q71" s="32" t="s">
        <v>20</v>
      </c>
      <c r="R71" s="41">
        <v>5</v>
      </c>
    </row>
    <row r="72" spans="1:18" s="5" customFormat="1" ht="31.15" customHeight="1">
      <c r="A72" s="10">
        <v>60</v>
      </c>
      <c r="B72" s="39" t="s">
        <v>33</v>
      </c>
      <c r="C72" s="39" t="s">
        <v>160</v>
      </c>
      <c r="D72" s="39" t="s">
        <v>160</v>
      </c>
      <c r="E72" s="39" t="s">
        <v>122</v>
      </c>
      <c r="F72" s="39" t="s">
        <v>122</v>
      </c>
      <c r="G72" s="31" t="s">
        <v>289</v>
      </c>
      <c r="H72" s="34" t="s">
        <v>35</v>
      </c>
      <c r="I72" s="35">
        <v>13</v>
      </c>
      <c r="J72" s="36">
        <f>131428/1.12</f>
        <v>117346.42857142857</v>
      </c>
      <c r="K72" s="88">
        <f t="shared" si="0"/>
        <v>1525503.5714285714</v>
      </c>
      <c r="L72" s="33"/>
      <c r="M72" s="33"/>
      <c r="N72" s="33"/>
      <c r="O72" s="32" t="s">
        <v>54</v>
      </c>
      <c r="P72" s="31" t="s">
        <v>62</v>
      </c>
      <c r="Q72" s="32" t="s">
        <v>20</v>
      </c>
      <c r="R72" s="41">
        <v>5</v>
      </c>
    </row>
    <row r="73" spans="1:18" s="5" customFormat="1" ht="47.25">
      <c r="A73" s="10">
        <v>61</v>
      </c>
      <c r="B73" s="39" t="s">
        <v>33</v>
      </c>
      <c r="C73" s="39" t="s">
        <v>160</v>
      </c>
      <c r="D73" s="39" t="s">
        <v>160</v>
      </c>
      <c r="E73" s="39" t="s">
        <v>167</v>
      </c>
      <c r="F73" s="39" t="s">
        <v>123</v>
      </c>
      <c r="G73" s="31" t="s">
        <v>289</v>
      </c>
      <c r="H73" s="34" t="s">
        <v>35</v>
      </c>
      <c r="I73" s="35">
        <v>7</v>
      </c>
      <c r="J73" s="36">
        <f>110916/1.12</f>
        <v>99032.142857142841</v>
      </c>
      <c r="K73" s="36">
        <f t="shared" si="0"/>
        <v>693224.99999999988</v>
      </c>
      <c r="L73" s="33"/>
      <c r="M73" s="33"/>
      <c r="N73" s="33"/>
      <c r="O73" s="32" t="s">
        <v>274</v>
      </c>
      <c r="P73" s="31" t="s">
        <v>157</v>
      </c>
      <c r="Q73" s="32" t="s">
        <v>20</v>
      </c>
      <c r="R73" s="41">
        <v>5</v>
      </c>
    </row>
    <row r="74" spans="1:18" s="5" customFormat="1" ht="31.15" customHeight="1">
      <c r="A74" s="10">
        <v>62</v>
      </c>
      <c r="B74" s="39" t="s">
        <v>33</v>
      </c>
      <c r="C74" s="39" t="s">
        <v>164</v>
      </c>
      <c r="D74" s="39" t="s">
        <v>164</v>
      </c>
      <c r="E74" s="39" t="s">
        <v>187</v>
      </c>
      <c r="F74" s="39" t="s">
        <v>124</v>
      </c>
      <c r="G74" s="31" t="s">
        <v>289</v>
      </c>
      <c r="H74" s="34" t="s">
        <v>35</v>
      </c>
      <c r="I74" s="35">
        <v>2</v>
      </c>
      <c r="J74" s="36">
        <f>127488/1.12</f>
        <v>113828.57142857142</v>
      </c>
      <c r="K74" s="36">
        <f t="shared" si="0"/>
        <v>227657.14285714284</v>
      </c>
      <c r="L74" s="33"/>
      <c r="M74" s="33"/>
      <c r="N74" s="33"/>
      <c r="O74" s="32" t="s">
        <v>54</v>
      </c>
      <c r="P74" s="31" t="s">
        <v>313</v>
      </c>
      <c r="Q74" s="32" t="s">
        <v>20</v>
      </c>
      <c r="R74" s="41">
        <v>5</v>
      </c>
    </row>
    <row r="75" spans="1:18" s="5" customFormat="1" ht="39.6" customHeight="1">
      <c r="A75" s="10">
        <v>63</v>
      </c>
      <c r="B75" s="39" t="s">
        <v>33</v>
      </c>
      <c r="C75" s="39" t="s">
        <v>168</v>
      </c>
      <c r="D75" s="39" t="s">
        <v>168</v>
      </c>
      <c r="E75" s="39" t="s">
        <v>169</v>
      </c>
      <c r="F75" s="39" t="s">
        <v>125</v>
      </c>
      <c r="G75" s="31" t="s">
        <v>289</v>
      </c>
      <c r="H75" s="34" t="s">
        <v>35</v>
      </c>
      <c r="I75" s="35">
        <v>5</v>
      </c>
      <c r="J75" s="36">
        <f>100000/1.12</f>
        <v>89285.714285714275</v>
      </c>
      <c r="K75" s="36">
        <f t="shared" si="0"/>
        <v>446428.57142857136</v>
      </c>
      <c r="L75" s="33"/>
      <c r="M75" s="33"/>
      <c r="N75" s="33"/>
      <c r="O75" s="32" t="s">
        <v>274</v>
      </c>
      <c r="P75" s="31" t="s">
        <v>157</v>
      </c>
      <c r="Q75" s="32" t="s">
        <v>20</v>
      </c>
      <c r="R75" s="41">
        <v>5</v>
      </c>
    </row>
    <row r="76" spans="1:18" s="5" customFormat="1" ht="39.6" customHeight="1">
      <c r="A76" s="10">
        <v>64</v>
      </c>
      <c r="B76" s="39" t="s">
        <v>33</v>
      </c>
      <c r="C76" s="39" t="s">
        <v>170</v>
      </c>
      <c r="D76" s="39" t="s">
        <v>170</v>
      </c>
      <c r="E76" s="39" t="s">
        <v>126</v>
      </c>
      <c r="F76" s="39" t="s">
        <v>126</v>
      </c>
      <c r="G76" s="31" t="s">
        <v>289</v>
      </c>
      <c r="H76" s="34" t="s">
        <v>171</v>
      </c>
      <c r="I76" s="35">
        <v>167.65</v>
      </c>
      <c r="J76" s="36">
        <f>6500/1.12</f>
        <v>5803.5714285714284</v>
      </c>
      <c r="K76" s="36">
        <f t="shared" si="0"/>
        <v>972968.75</v>
      </c>
      <c r="L76" s="33"/>
      <c r="M76" s="33"/>
      <c r="N76" s="33"/>
      <c r="O76" s="32" t="s">
        <v>274</v>
      </c>
      <c r="P76" s="31" t="s">
        <v>157</v>
      </c>
      <c r="Q76" s="32" t="s">
        <v>20</v>
      </c>
      <c r="R76" s="41">
        <v>5</v>
      </c>
    </row>
    <row r="77" spans="1:18" s="5" customFormat="1" ht="281.45" customHeight="1" thickBot="1">
      <c r="A77" s="10">
        <v>65</v>
      </c>
      <c r="B77" s="56" t="s">
        <v>13</v>
      </c>
      <c r="C77" s="66" t="s">
        <v>272</v>
      </c>
      <c r="D77" s="66" t="s">
        <v>272</v>
      </c>
      <c r="E77" s="56" t="s">
        <v>271</v>
      </c>
      <c r="F77" s="56" t="s">
        <v>270</v>
      </c>
      <c r="G77" s="67" t="s">
        <v>291</v>
      </c>
      <c r="H77" s="66" t="s">
        <v>17</v>
      </c>
      <c r="I77" s="68">
        <v>1</v>
      </c>
      <c r="J77" s="69">
        <v>198200</v>
      </c>
      <c r="K77" s="69">
        <f t="shared" si="0"/>
        <v>198200</v>
      </c>
      <c r="L77" s="70"/>
      <c r="M77" s="70"/>
      <c r="N77" s="70"/>
      <c r="O77" s="71" t="s">
        <v>227</v>
      </c>
      <c r="P77" s="68" t="s">
        <v>311</v>
      </c>
      <c r="Q77" s="71" t="s">
        <v>20</v>
      </c>
      <c r="R77" s="72">
        <v>10</v>
      </c>
    </row>
    <row r="78" spans="1:18">
      <c r="D78" s="390"/>
      <c r="E78" s="390"/>
    </row>
    <row r="79" spans="1:18">
      <c r="D79" s="61"/>
      <c r="E79" s="61"/>
    </row>
    <row r="80" spans="1:18" ht="18.75">
      <c r="C80" s="391" t="s">
        <v>252</v>
      </c>
      <c r="D80" s="392"/>
      <c r="E80" s="8"/>
      <c r="F80" s="58" t="s">
        <v>293</v>
      </c>
      <c r="H80" s="393"/>
      <c r="I80" s="394"/>
      <c r="J80" s="394"/>
      <c r="K80" s="394"/>
      <c r="L80" s="394"/>
      <c r="M80" s="394"/>
      <c r="N80" s="394"/>
      <c r="O80" s="394"/>
      <c r="P80" s="394"/>
      <c r="Q80" s="394"/>
      <c r="R80" s="394"/>
    </row>
    <row r="82" spans="3:18" ht="18.75">
      <c r="C82" s="389" t="s">
        <v>253</v>
      </c>
      <c r="D82" s="389"/>
      <c r="E82" s="389"/>
      <c r="F82" s="58" t="s">
        <v>294</v>
      </c>
      <c r="J82" s="62" t="s">
        <v>307</v>
      </c>
    </row>
    <row r="83" spans="3:18" ht="18.75">
      <c r="C83" s="57"/>
      <c r="D83" s="57"/>
      <c r="E83" s="57"/>
      <c r="F83" s="58"/>
      <c r="K83" s="49" t="s">
        <v>300</v>
      </c>
    </row>
    <row r="84" spans="3:18" hidden="1"/>
    <row r="85" spans="3:18" ht="37.5">
      <c r="C85" s="389" t="s">
        <v>295</v>
      </c>
      <c r="D85" s="389"/>
      <c r="E85" s="389"/>
      <c r="F85" s="58" t="s">
        <v>296</v>
      </c>
    </row>
    <row r="86" spans="3:18" ht="18.75">
      <c r="C86" s="57"/>
      <c r="D86" s="57"/>
      <c r="E86" s="57"/>
      <c r="K86" s="49" t="s">
        <v>301</v>
      </c>
    </row>
    <row r="87" spans="3:18" ht="18.75">
      <c r="C87" s="389" t="s">
        <v>255</v>
      </c>
      <c r="D87" s="389"/>
      <c r="F87" s="58" t="s">
        <v>297</v>
      </c>
    </row>
    <row r="88" spans="3:18" ht="18.75">
      <c r="H88" s="49"/>
      <c r="I88" s="49"/>
      <c r="K88" s="49" t="s">
        <v>302</v>
      </c>
      <c r="L88" s="49"/>
      <c r="M88" s="49"/>
      <c r="N88" s="49"/>
      <c r="O88" s="49"/>
      <c r="P88" s="49"/>
      <c r="Q88" s="49"/>
      <c r="R88" s="49"/>
    </row>
    <row r="89" spans="3:18" ht="18.75" hidden="1"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3:18" ht="18.75">
      <c r="C90" s="389" t="s">
        <v>256</v>
      </c>
      <c r="D90" s="389"/>
      <c r="F90" s="58" t="s">
        <v>298</v>
      </c>
      <c r="H90" s="49"/>
      <c r="I90" s="49"/>
      <c r="K90" s="49"/>
      <c r="L90" s="49"/>
      <c r="M90" s="49"/>
      <c r="N90" s="49"/>
      <c r="O90" s="49"/>
      <c r="P90" s="49"/>
      <c r="Q90" s="49"/>
      <c r="R90" s="49"/>
    </row>
    <row r="91" spans="3:18" ht="18.75">
      <c r="H91" s="49"/>
      <c r="I91" s="49"/>
      <c r="J91" s="49"/>
      <c r="K91" s="49" t="s">
        <v>268</v>
      </c>
      <c r="L91" s="49"/>
      <c r="M91" s="49"/>
      <c r="N91" s="49"/>
      <c r="O91" s="49"/>
      <c r="P91" s="49"/>
      <c r="Q91" s="49"/>
      <c r="R91" s="49"/>
    </row>
    <row r="92" spans="3:18" ht="18.75" hidden="1">
      <c r="H92" s="49"/>
      <c r="I92" s="49"/>
      <c r="J92" s="49" t="s">
        <v>268</v>
      </c>
      <c r="K92" s="49"/>
      <c r="L92" s="49"/>
      <c r="M92" s="49"/>
      <c r="N92" s="49"/>
      <c r="O92" s="49"/>
      <c r="P92" s="49"/>
      <c r="Q92" s="49"/>
      <c r="R92" s="49"/>
    </row>
    <row r="93" spans="3:18" ht="18.75">
      <c r="C93" s="389" t="s">
        <v>257</v>
      </c>
      <c r="D93" s="389"/>
      <c r="E93" s="389"/>
      <c r="F93" s="58" t="s">
        <v>299</v>
      </c>
      <c r="H93" s="49" t="s">
        <v>261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3:18" ht="18.75">
      <c r="H94" s="49"/>
      <c r="I94" s="49"/>
      <c r="J94" s="49"/>
      <c r="L94" s="49"/>
      <c r="M94" s="49"/>
      <c r="N94" s="49"/>
      <c r="O94" s="49"/>
      <c r="P94" s="49"/>
      <c r="Q94" s="49"/>
      <c r="R94" s="49"/>
    </row>
    <row r="99" spans="8:18" ht="15.75">
      <c r="H99" s="389" t="s">
        <v>254</v>
      </c>
      <c r="I99" s="390"/>
      <c r="J99" s="390"/>
      <c r="K99" s="390"/>
      <c r="L99" s="390"/>
      <c r="M99" s="390"/>
      <c r="N99" s="390"/>
      <c r="O99" s="390"/>
      <c r="P99" s="390"/>
      <c r="Q99" s="390"/>
      <c r="R99" s="390"/>
    </row>
    <row r="100" spans="8:18" ht="18.75">
      <c r="H100" s="49"/>
      <c r="I100" s="49"/>
      <c r="K100" s="49"/>
      <c r="L100" s="49"/>
      <c r="M100" s="49"/>
      <c r="N100" s="49"/>
      <c r="O100" s="49"/>
      <c r="P100" s="49"/>
      <c r="Q100" s="49"/>
      <c r="R100" s="49"/>
    </row>
    <row r="101" spans="8:18" ht="18.75">
      <c r="H101" s="49"/>
      <c r="I101" s="49"/>
      <c r="K101" s="49"/>
      <c r="L101" s="49"/>
      <c r="M101" s="49"/>
      <c r="N101" s="49"/>
      <c r="O101" s="49"/>
      <c r="P101" s="49"/>
      <c r="Q101" s="49"/>
      <c r="R101" s="49"/>
    </row>
    <row r="102" spans="8:18" ht="18.75">
      <c r="H102" s="49"/>
      <c r="I102" s="49"/>
      <c r="K102" s="49"/>
      <c r="L102" s="49"/>
      <c r="M102" s="49"/>
      <c r="N102" s="49"/>
      <c r="O102" s="49"/>
      <c r="P102" s="49"/>
      <c r="Q102" s="49"/>
      <c r="R102" s="49"/>
    </row>
    <row r="103" spans="8:18" ht="18.75">
      <c r="H103" s="49" t="s">
        <v>260</v>
      </c>
      <c r="I103" s="49"/>
      <c r="K103" s="49"/>
      <c r="L103" s="49"/>
      <c r="M103" s="49"/>
      <c r="N103" s="49"/>
      <c r="O103" s="49"/>
      <c r="P103" s="49"/>
      <c r="Q103" s="49"/>
      <c r="R103" s="49"/>
    </row>
  </sheetData>
  <mergeCells count="30">
    <mergeCell ref="S36:T37"/>
    <mergeCell ref="S33:S34"/>
    <mergeCell ref="A6:J6"/>
    <mergeCell ref="C82:E82"/>
    <mergeCell ref="L10:L11"/>
    <mergeCell ref="M10:M11"/>
    <mergeCell ref="N10:N11"/>
    <mergeCell ref="C10:C11"/>
    <mergeCell ref="D10:D11"/>
    <mergeCell ref="E10:E11"/>
    <mergeCell ref="F10:F11"/>
    <mergeCell ref="G10:G11"/>
    <mergeCell ref="A10:A11"/>
    <mergeCell ref="B10:B11"/>
    <mergeCell ref="R10:R11"/>
    <mergeCell ref="D78:E78"/>
    <mergeCell ref="C80:D80"/>
    <mergeCell ref="H80:R80"/>
    <mergeCell ref="P10:P11"/>
    <mergeCell ref="Q10:Q11"/>
    <mergeCell ref="O10:O11"/>
    <mergeCell ref="H10:H11"/>
    <mergeCell ref="I10:I11"/>
    <mergeCell ref="J10:J11"/>
    <mergeCell ref="K10:K11"/>
    <mergeCell ref="H99:R99"/>
    <mergeCell ref="C85:E85"/>
    <mergeCell ref="C87:D87"/>
    <mergeCell ref="C90:D90"/>
    <mergeCell ref="C93:E93"/>
  </mergeCells>
  <dataValidations xWindow="1680" yWindow="644" count="12"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R39 R41:R77">
      <formula1>0</formula1>
      <formula2>100</formula2>
    </dataValidation>
    <dataValidation type="list" allowBlank="1" showInputMessage="1" showErrorMessage="1" sqref="O39 O41 O21:O27 O46:O76">
      <formula1>Месяц</formula1>
    </dataValidation>
    <dataValidation type="list" allowBlank="1" showInputMessage="1" showErrorMessage="1" sqref="Q39 J77 Q21:Q27 Q41:Q77">
      <formula1>КАТО</formula1>
    </dataValidation>
    <dataValidation allowBlank="1" showInputMessage="1" showErrorMessage="1" prompt="Введите срок поставки" sqref="P25:P27 I77 P41:P77"/>
    <dataValidation allowBlank="1" showInputMessage="1" showErrorMessage="1" prompt="Единица измерения заполняется автоматически в соответствии с КТРУ" sqref="H39 C77 H20:H27 H41:H77"/>
    <dataValidation type="list" allowBlank="1" showInputMessage="1" showErrorMessage="1" prompt="Выберите способ закупки" sqref="G39 G67:G76">
      <formula1>Способ</formula1>
    </dataValidation>
    <dataValidation allowBlank="1" showInputMessage="1" showErrorMessage="1" prompt="Введите дополнительную характеристику на государственном языке" sqref="F70 F72:F76 E39 C69:F69 C67:E68 C70:E74 C76:E76 B77 C25:F25 B44:B47 C41:E47"/>
    <dataValidation allowBlank="1" showInputMessage="1" showErrorMessage="1" prompt="Наименование на государственном языке заполняется автоматически в соответствии с КТРУ" sqref="C20:F20 C21:E22 F21:F24 C26:F27"/>
    <dataValidation allowBlank="1" showInputMessage="1" showErrorMessage="1" prompt="Наименование на русском языке заполняется автоматически в соответствии с КТРУ" sqref="C75:E75"/>
    <dataValidation allowBlank="1" showInputMessage="1" showErrorMessage="1" prompt="Введите дополнительную характеристику на русском языке" sqref="F71 F67:F68 F39 F41:F47"/>
    <dataValidation type="decimal" operator="greaterThan" allowBlank="1" showInputMessage="1" showErrorMessage="1" prompt="Введите утвержденную сумму на первый год трехлетнего периода" sqref="F77">
      <formula1>0</formula1>
    </dataValidation>
    <dataValidation type="decimal" operator="greaterThan" allowBlank="1" showInputMessage="1" showErrorMessage="1" prompt="Введите прогнозируемую сумму на третий год" sqref="S39 L25:N27 L39:N39 L41:N76">
      <formula1>0</formula1>
    </dataValidation>
  </dataValidations>
  <pageMargins left="0.31496062992125984" right="0.11811023622047245" top="0.15748031496062992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6"/>
  <sheetViews>
    <sheetView workbookViewId="0">
      <pane ySplit="300" activePane="bottomLeft"/>
      <selection activeCell="K2" sqref="K2:K3"/>
      <selection pane="bottomLeft" activeCell="B74" sqref="B74"/>
    </sheetView>
  </sheetViews>
  <sheetFormatPr defaultRowHeight="15"/>
  <cols>
    <col min="1" max="1" width="6" customWidth="1"/>
    <col min="2" max="2" width="49" customWidth="1"/>
    <col min="3" max="3" width="13.7109375" hidden="1" customWidth="1"/>
    <col min="4" max="4" width="13.85546875" hidden="1" customWidth="1"/>
    <col min="5" max="5" width="13.85546875" bestFit="1" customWidth="1"/>
    <col min="6" max="6" width="22.42578125" customWidth="1"/>
    <col min="7" max="7" width="21.140625" customWidth="1"/>
    <col min="8" max="8" width="21.5703125" bestFit="1" customWidth="1"/>
    <col min="9" max="9" width="19.140625" customWidth="1"/>
    <col min="10" max="10" width="23.28515625" customWidth="1"/>
    <col min="11" max="11" width="18.7109375" customWidth="1"/>
    <col min="13" max="14" width="9.7109375" bestFit="1" customWidth="1"/>
  </cols>
  <sheetData>
    <row r="1" spans="1:11" ht="37.15" customHeight="1" thickBot="1">
      <c r="A1" s="420" t="s">
        <v>339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1" s="4" customFormat="1" ht="12" customHeight="1">
      <c r="A2" s="418" t="s">
        <v>1</v>
      </c>
      <c r="B2" s="418" t="s">
        <v>285</v>
      </c>
      <c r="C2" s="399" t="s">
        <v>4</v>
      </c>
      <c r="D2" s="401" t="s">
        <v>5</v>
      </c>
      <c r="E2" s="422" t="s">
        <v>6</v>
      </c>
      <c r="F2" s="418" t="s">
        <v>356</v>
      </c>
      <c r="G2" s="418" t="s">
        <v>357</v>
      </c>
      <c r="H2" s="418" t="s">
        <v>333</v>
      </c>
      <c r="I2" s="418" t="s">
        <v>334</v>
      </c>
      <c r="J2" s="418" t="s">
        <v>358</v>
      </c>
      <c r="K2" s="418" t="s">
        <v>359</v>
      </c>
    </row>
    <row r="3" spans="1:11" s="4" customFormat="1" ht="79.150000000000006" customHeight="1" thickBot="1">
      <c r="A3" s="419"/>
      <c r="B3" s="419"/>
      <c r="C3" s="424"/>
      <c r="D3" s="421"/>
      <c r="E3" s="423"/>
      <c r="F3" s="419"/>
      <c r="G3" s="419"/>
      <c r="H3" s="419"/>
      <c r="I3" s="419"/>
      <c r="J3" s="419"/>
      <c r="K3" s="419"/>
    </row>
    <row r="4" spans="1:11" s="4" customFormat="1" ht="15.75" hidden="1">
      <c r="A4" s="81"/>
      <c r="B4" s="82"/>
      <c r="C4" s="91"/>
      <c r="D4" s="92"/>
      <c r="E4" s="92"/>
      <c r="F4" s="83"/>
      <c r="G4" s="83"/>
      <c r="H4" s="83"/>
      <c r="I4" s="83"/>
      <c r="J4" s="126"/>
    </row>
    <row r="5" spans="1:11" s="4" customFormat="1" ht="22.15" hidden="1" customHeight="1">
      <c r="A5" s="113">
        <v>1</v>
      </c>
      <c r="B5" s="112">
        <v>10</v>
      </c>
      <c r="C5" s="112">
        <v>12</v>
      </c>
      <c r="D5" s="112">
        <v>13</v>
      </c>
      <c r="E5" s="112">
        <v>14</v>
      </c>
      <c r="F5" s="112">
        <v>15</v>
      </c>
      <c r="G5" s="132"/>
      <c r="H5" s="112"/>
      <c r="I5" s="112"/>
      <c r="J5" s="79"/>
    </row>
    <row r="6" spans="1:11" s="4" customFormat="1" ht="63">
      <c r="A6" s="103">
        <v>9</v>
      </c>
      <c r="B6" s="119" t="s">
        <v>32</v>
      </c>
      <c r="C6" s="23" t="s">
        <v>17</v>
      </c>
      <c r="D6" s="24">
        <v>1</v>
      </c>
      <c r="E6" s="26">
        <f>(20873920-4182976-1080000-1911600)/1.12</f>
        <v>12231557.142857142</v>
      </c>
      <c r="F6" s="26">
        <f>E6</f>
        <v>12231557.142857142</v>
      </c>
      <c r="G6" s="26">
        <f t="shared" ref="G6:G12" si="0">F6*1.12</f>
        <v>13699344</v>
      </c>
      <c r="H6" s="26">
        <f>-964285.71-1706786</f>
        <v>-2671071.71</v>
      </c>
      <c r="I6" s="26">
        <f>H6*1.12</f>
        <v>-2991600.3152000001</v>
      </c>
      <c r="J6" s="127">
        <f t="shared" ref="J6:K15" si="1">F6+H6</f>
        <v>9560485.4328571409</v>
      </c>
      <c r="K6" s="127">
        <f>J6*1.12</f>
        <v>10707743.684799999</v>
      </c>
    </row>
    <row r="7" spans="1:11" s="5" customFormat="1" ht="31.5">
      <c r="A7" s="103">
        <v>12</v>
      </c>
      <c r="B7" s="119" t="s">
        <v>276</v>
      </c>
      <c r="C7" s="23" t="s">
        <v>35</v>
      </c>
      <c r="D7" s="24">
        <v>20</v>
      </c>
      <c r="E7" s="26">
        <f>12700/1.12</f>
        <v>11339.285714285714</v>
      </c>
      <c r="F7" s="26">
        <f t="shared" ref="F7:F14" si="2">D7*E7</f>
        <v>226785.71428571426</v>
      </c>
      <c r="G7" s="26">
        <f t="shared" si="0"/>
        <v>254000</v>
      </c>
      <c r="H7" s="26">
        <v>-226785.71</v>
      </c>
      <c r="I7" s="26">
        <f t="shared" ref="I7:I12" si="3">H7*1.12</f>
        <v>-253999.9952</v>
      </c>
      <c r="J7" s="127">
        <f t="shared" si="1"/>
        <v>4.2857142689172179E-3</v>
      </c>
      <c r="K7" s="127">
        <f t="shared" si="1"/>
        <v>4.7999999951571226E-3</v>
      </c>
    </row>
    <row r="8" spans="1:11" s="5" customFormat="1" ht="18" customHeight="1">
      <c r="A8" s="103">
        <v>15</v>
      </c>
      <c r="B8" s="119" t="s">
        <v>40</v>
      </c>
      <c r="C8" s="23" t="s">
        <v>35</v>
      </c>
      <c r="D8" s="24">
        <v>5000</v>
      </c>
      <c r="E8" s="26">
        <f>75/1.12</f>
        <v>66.964285714285708</v>
      </c>
      <c r="F8" s="26">
        <f t="shared" si="2"/>
        <v>334821.42857142852</v>
      </c>
      <c r="G8" s="26">
        <f t="shared" si="0"/>
        <v>375000</v>
      </c>
      <c r="H8" s="26">
        <v>-21.43</v>
      </c>
      <c r="I8" s="26">
        <f>H8*1.12</f>
        <v>-24.001600000000003</v>
      </c>
      <c r="J8" s="127">
        <f>F8+H8</f>
        <v>334799.99857142853</v>
      </c>
      <c r="K8" s="127">
        <f>G8+I8</f>
        <v>374975.99839999998</v>
      </c>
    </row>
    <row r="9" spans="1:11" s="6" customFormat="1" ht="21" customHeight="1">
      <c r="A9" s="103">
        <v>16</v>
      </c>
      <c r="B9" s="119" t="s">
        <v>41</v>
      </c>
      <c r="C9" s="23" t="s">
        <v>35</v>
      </c>
      <c r="D9" s="24">
        <v>200000</v>
      </c>
      <c r="E9" s="26">
        <f>9.63/1.12</f>
        <v>8.5982142857142865</v>
      </c>
      <c r="F9" s="26">
        <f t="shared" si="2"/>
        <v>1719642.8571428573</v>
      </c>
      <c r="G9" s="26">
        <f t="shared" si="0"/>
        <v>1926000.0000000002</v>
      </c>
      <c r="H9" s="26">
        <v>28585.71</v>
      </c>
      <c r="I9" s="26">
        <f t="shared" si="3"/>
        <v>32015.995200000001</v>
      </c>
      <c r="J9" s="127">
        <f t="shared" si="1"/>
        <v>1748228.5671428572</v>
      </c>
      <c r="K9" s="127">
        <f t="shared" si="1"/>
        <v>1958015.9952000002</v>
      </c>
    </row>
    <row r="10" spans="1:11" s="6" customFormat="1" ht="31.5">
      <c r="A10" s="103">
        <v>168</v>
      </c>
      <c r="B10" s="119" t="s">
        <v>272</v>
      </c>
      <c r="C10" s="23" t="s">
        <v>17</v>
      </c>
      <c r="D10" s="24">
        <v>1</v>
      </c>
      <c r="E10" s="26"/>
      <c r="F10" s="26">
        <v>0</v>
      </c>
      <c r="G10" s="26">
        <f t="shared" si="0"/>
        <v>0</v>
      </c>
      <c r="H10" s="26">
        <v>198200</v>
      </c>
      <c r="I10" s="26">
        <f>H10*1.12</f>
        <v>221984.00000000003</v>
      </c>
      <c r="J10" s="127">
        <f>F10+H10</f>
        <v>198200</v>
      </c>
      <c r="K10" s="127">
        <f>G10+I10</f>
        <v>221984.00000000003</v>
      </c>
    </row>
    <row r="11" spans="1:11" s="6" customFormat="1" ht="47.25">
      <c r="A11" s="103">
        <v>17</v>
      </c>
      <c r="B11" s="119" t="s">
        <v>228</v>
      </c>
      <c r="C11" s="23" t="s">
        <v>17</v>
      </c>
      <c r="D11" s="24">
        <v>1</v>
      </c>
      <c r="E11" s="26"/>
      <c r="F11" s="26">
        <v>0</v>
      </c>
      <c r="G11" s="26">
        <f t="shared" si="0"/>
        <v>0</v>
      </c>
      <c r="H11" s="26">
        <v>964285.71</v>
      </c>
      <c r="I11" s="26">
        <f t="shared" si="3"/>
        <v>1079999.9952</v>
      </c>
      <c r="J11" s="127">
        <f t="shared" si="1"/>
        <v>964285.71</v>
      </c>
      <c r="K11" s="127">
        <f t="shared" si="1"/>
        <v>1079999.9952</v>
      </c>
    </row>
    <row r="12" spans="1:11" s="6" customFormat="1" ht="31.5">
      <c r="A12" s="103">
        <v>18</v>
      </c>
      <c r="B12" s="119" t="s">
        <v>258</v>
      </c>
      <c r="C12" s="23" t="s">
        <v>35</v>
      </c>
      <c r="D12" s="24">
        <v>1706786</v>
      </c>
      <c r="E12" s="26">
        <v>1</v>
      </c>
      <c r="F12" s="26">
        <v>0</v>
      </c>
      <c r="G12" s="26">
        <f t="shared" si="0"/>
        <v>0</v>
      </c>
      <c r="H12" s="26">
        <v>1706786</v>
      </c>
      <c r="I12" s="26">
        <f t="shared" si="3"/>
        <v>1911600.3200000003</v>
      </c>
      <c r="J12" s="127">
        <f t="shared" si="1"/>
        <v>1706786</v>
      </c>
      <c r="K12" s="127">
        <f t="shared" si="1"/>
        <v>1911600.3200000003</v>
      </c>
    </row>
    <row r="13" spans="1:11" s="6" customFormat="1" ht="31.5">
      <c r="A13" s="103">
        <v>21</v>
      </c>
      <c r="B13" s="119" t="s">
        <v>47</v>
      </c>
      <c r="C13" s="23" t="s">
        <v>17</v>
      </c>
      <c r="D13" s="24">
        <v>1</v>
      </c>
      <c r="E13" s="26">
        <v>897700</v>
      </c>
      <c r="F13" s="26">
        <f t="shared" si="2"/>
        <v>897700</v>
      </c>
      <c r="G13" s="26">
        <f>F13</f>
        <v>897700</v>
      </c>
      <c r="H13" s="26">
        <v>62300</v>
      </c>
      <c r="I13" s="26">
        <f>H13</f>
        <v>62300</v>
      </c>
      <c r="J13" s="127">
        <f t="shared" si="1"/>
        <v>960000</v>
      </c>
      <c r="K13" s="127">
        <f t="shared" si="1"/>
        <v>960000</v>
      </c>
    </row>
    <row r="14" spans="1:11" s="6" customFormat="1" ht="31.5">
      <c r="A14" s="103">
        <v>22</v>
      </c>
      <c r="B14" s="119" t="s">
        <v>48</v>
      </c>
      <c r="C14" s="23" t="s">
        <v>17</v>
      </c>
      <c r="D14" s="24">
        <v>1</v>
      </c>
      <c r="E14" s="26">
        <v>233300</v>
      </c>
      <c r="F14" s="26">
        <f t="shared" si="2"/>
        <v>233300</v>
      </c>
      <c r="G14" s="26">
        <f>F14</f>
        <v>233300</v>
      </c>
      <c r="H14" s="26">
        <v>-62300</v>
      </c>
      <c r="I14" s="26">
        <f t="shared" ref="I14:I50" si="4">H14</f>
        <v>-62300</v>
      </c>
      <c r="J14" s="127">
        <f t="shared" si="1"/>
        <v>171000</v>
      </c>
      <c r="K14" s="127">
        <f t="shared" si="1"/>
        <v>171000</v>
      </c>
    </row>
    <row r="15" spans="1:11" s="5" customFormat="1" ht="15.75">
      <c r="A15" s="103">
        <v>27</v>
      </c>
      <c r="B15" s="119" t="s">
        <v>143</v>
      </c>
      <c r="C15" s="44" t="s">
        <v>35</v>
      </c>
      <c r="D15" s="45">
        <v>2</v>
      </c>
      <c r="E15" s="26">
        <v>34709.040000000001</v>
      </c>
      <c r="F15" s="26">
        <v>69418.080000000002</v>
      </c>
      <c r="G15" s="26">
        <f>F15</f>
        <v>69418.080000000002</v>
      </c>
      <c r="H15" s="47">
        <v>-5204.08</v>
      </c>
      <c r="I15" s="26">
        <f t="shared" si="4"/>
        <v>-5204.08</v>
      </c>
      <c r="J15" s="127">
        <f t="shared" si="1"/>
        <v>64214</v>
      </c>
      <c r="K15" s="127">
        <f t="shared" si="1"/>
        <v>64214</v>
      </c>
    </row>
    <row r="16" spans="1:11" s="5" customFormat="1" ht="15.75">
      <c r="A16" s="103">
        <v>28</v>
      </c>
      <c r="B16" s="119" t="s">
        <v>195</v>
      </c>
      <c r="C16" s="44" t="s">
        <v>35</v>
      </c>
      <c r="D16" s="45">
        <v>4</v>
      </c>
      <c r="E16" s="26">
        <v>39960</v>
      </c>
      <c r="F16" s="26">
        <v>159840</v>
      </c>
      <c r="G16" s="26">
        <f t="shared" ref="G16:G50" si="5">F16</f>
        <v>159840</v>
      </c>
      <c r="H16" s="26">
        <v>-10972</v>
      </c>
      <c r="I16" s="26">
        <f t="shared" si="4"/>
        <v>-10972</v>
      </c>
      <c r="J16" s="127">
        <f t="shared" ref="J16:K41" si="6">F16+H16</f>
        <v>148868</v>
      </c>
      <c r="K16" s="127">
        <f t="shared" si="6"/>
        <v>148868</v>
      </c>
    </row>
    <row r="17" spans="1:11" s="5" customFormat="1" ht="15.75">
      <c r="A17" s="103">
        <v>29</v>
      </c>
      <c r="B17" s="119" t="s">
        <v>178</v>
      </c>
      <c r="C17" s="44" t="s">
        <v>35</v>
      </c>
      <c r="D17" s="45">
        <v>2</v>
      </c>
      <c r="E17" s="26">
        <v>27371.52</v>
      </c>
      <c r="F17" s="26">
        <v>54743.040000000001</v>
      </c>
      <c r="G17" s="26">
        <f t="shared" si="5"/>
        <v>54743.040000000001</v>
      </c>
      <c r="H17" s="26">
        <v>-5947.04</v>
      </c>
      <c r="I17" s="26">
        <f t="shared" si="4"/>
        <v>-5947.04</v>
      </c>
      <c r="J17" s="127">
        <f t="shared" si="6"/>
        <v>48796</v>
      </c>
      <c r="K17" s="127">
        <f t="shared" si="6"/>
        <v>48796</v>
      </c>
    </row>
    <row r="18" spans="1:11" s="5" customFormat="1" ht="15.75">
      <c r="A18" s="103">
        <v>30</v>
      </c>
      <c r="B18" s="119" t="s">
        <v>179</v>
      </c>
      <c r="C18" s="44" t="s">
        <v>35</v>
      </c>
      <c r="D18" s="45">
        <v>2</v>
      </c>
      <c r="E18" s="26">
        <v>37564.559999999998</v>
      </c>
      <c r="F18" s="26">
        <v>75129.119999999995</v>
      </c>
      <c r="G18" s="26">
        <f t="shared" si="5"/>
        <v>75129.119999999995</v>
      </c>
      <c r="H18" s="26">
        <v>-9435.1200000000008</v>
      </c>
      <c r="I18" s="26">
        <f t="shared" si="4"/>
        <v>-9435.1200000000008</v>
      </c>
      <c r="J18" s="127">
        <f t="shared" si="6"/>
        <v>65694</v>
      </c>
      <c r="K18" s="127">
        <f t="shared" si="6"/>
        <v>65694</v>
      </c>
    </row>
    <row r="19" spans="1:11" s="5" customFormat="1" ht="31.5">
      <c r="A19" s="103">
        <v>31</v>
      </c>
      <c r="B19" s="119" t="s">
        <v>174</v>
      </c>
      <c r="C19" s="44" t="s">
        <v>35</v>
      </c>
      <c r="D19" s="45">
        <v>2</v>
      </c>
      <c r="E19" s="26">
        <v>55242</v>
      </c>
      <c r="F19" s="26">
        <v>110484</v>
      </c>
      <c r="G19" s="26">
        <f t="shared" si="5"/>
        <v>110484</v>
      </c>
      <c r="H19" s="47">
        <v>-11440</v>
      </c>
      <c r="I19" s="26">
        <f t="shared" si="4"/>
        <v>-11440</v>
      </c>
      <c r="J19" s="127">
        <f t="shared" si="6"/>
        <v>99044</v>
      </c>
      <c r="K19" s="127">
        <f t="shared" si="6"/>
        <v>99044</v>
      </c>
    </row>
    <row r="20" spans="1:11" s="5" customFormat="1" ht="31.5">
      <c r="A20" s="103">
        <v>32</v>
      </c>
      <c r="B20" s="119" t="s">
        <v>175</v>
      </c>
      <c r="C20" s="44" t="s">
        <v>35</v>
      </c>
      <c r="D20" s="45">
        <v>2</v>
      </c>
      <c r="E20" s="26">
        <v>55242</v>
      </c>
      <c r="F20" s="26">
        <v>110484</v>
      </c>
      <c r="G20" s="26">
        <f t="shared" si="5"/>
        <v>110484</v>
      </c>
      <c r="H20" s="47">
        <v>-11440</v>
      </c>
      <c r="I20" s="26">
        <f t="shared" si="4"/>
        <v>-11440</v>
      </c>
      <c r="J20" s="127">
        <f t="shared" si="6"/>
        <v>99044</v>
      </c>
      <c r="K20" s="127">
        <f t="shared" si="6"/>
        <v>99044</v>
      </c>
    </row>
    <row r="21" spans="1:11" s="5" customFormat="1" ht="31.5">
      <c r="A21" s="103">
        <v>33</v>
      </c>
      <c r="B21" s="119" t="s">
        <v>176</v>
      </c>
      <c r="C21" s="44" t="s">
        <v>35</v>
      </c>
      <c r="D21" s="45">
        <v>2</v>
      </c>
      <c r="E21" s="26">
        <v>55242</v>
      </c>
      <c r="F21" s="26">
        <v>110484</v>
      </c>
      <c r="G21" s="26">
        <f t="shared" si="5"/>
        <v>110484</v>
      </c>
      <c r="H21" s="47">
        <v>-11440</v>
      </c>
      <c r="I21" s="26">
        <f t="shared" si="4"/>
        <v>-11440</v>
      </c>
      <c r="J21" s="127">
        <f t="shared" si="6"/>
        <v>99044</v>
      </c>
      <c r="K21" s="127">
        <f t="shared" si="6"/>
        <v>99044</v>
      </c>
    </row>
    <row r="22" spans="1:11" s="5" customFormat="1" ht="15.75">
      <c r="A22" s="103">
        <v>35</v>
      </c>
      <c r="B22" s="119" t="s">
        <v>182</v>
      </c>
      <c r="C22" s="44" t="s">
        <v>35</v>
      </c>
      <c r="D22" s="45">
        <v>3</v>
      </c>
      <c r="E22" s="26">
        <v>15668.64</v>
      </c>
      <c r="F22" s="26">
        <f>D22*E22</f>
        <v>47005.919999999998</v>
      </c>
      <c r="G22" s="26">
        <f t="shared" si="5"/>
        <v>47005.919999999998</v>
      </c>
      <c r="H22" s="26">
        <v>-4735.92</v>
      </c>
      <c r="I22" s="26">
        <f t="shared" si="4"/>
        <v>-4735.92</v>
      </c>
      <c r="J22" s="127">
        <f t="shared" si="6"/>
        <v>42270</v>
      </c>
      <c r="K22" s="127">
        <f t="shared" si="6"/>
        <v>42270</v>
      </c>
    </row>
    <row r="23" spans="1:11" s="5" customFormat="1" ht="15.75">
      <c r="A23" s="103">
        <v>36</v>
      </c>
      <c r="B23" s="119" t="s">
        <v>180</v>
      </c>
      <c r="C23" s="44" t="s">
        <v>35</v>
      </c>
      <c r="D23" s="45">
        <v>3</v>
      </c>
      <c r="E23" s="26">
        <v>18079.2</v>
      </c>
      <c r="F23" s="26">
        <v>54237.599999999999</v>
      </c>
      <c r="G23" s="26">
        <f t="shared" si="5"/>
        <v>54237.599999999999</v>
      </c>
      <c r="H23" s="26">
        <v>-5655.6</v>
      </c>
      <c r="I23" s="26">
        <f t="shared" si="4"/>
        <v>-5655.6</v>
      </c>
      <c r="J23" s="127">
        <f t="shared" si="6"/>
        <v>48582</v>
      </c>
      <c r="K23" s="127">
        <f t="shared" si="6"/>
        <v>48582</v>
      </c>
    </row>
    <row r="24" spans="1:11" s="5" customFormat="1" ht="15.75">
      <c r="A24" s="103">
        <v>38</v>
      </c>
      <c r="B24" s="119" t="s">
        <v>144</v>
      </c>
      <c r="C24" s="44" t="s">
        <v>35</v>
      </c>
      <c r="D24" s="45">
        <v>1</v>
      </c>
      <c r="E24" s="26">
        <v>22870.080000000002</v>
      </c>
      <c r="F24" s="26">
        <v>22870.080000000002</v>
      </c>
      <c r="G24" s="26">
        <f t="shared" si="5"/>
        <v>22870.080000000002</v>
      </c>
      <c r="H24" s="26">
        <v>-10066.08</v>
      </c>
      <c r="I24" s="26">
        <f t="shared" si="4"/>
        <v>-10066.08</v>
      </c>
      <c r="J24" s="127">
        <f t="shared" si="6"/>
        <v>12804.000000000002</v>
      </c>
      <c r="K24" s="127">
        <f t="shared" si="6"/>
        <v>12804.000000000002</v>
      </c>
    </row>
    <row r="25" spans="1:11" s="5" customFormat="1" ht="15.75">
      <c r="A25" s="103">
        <v>67</v>
      </c>
      <c r="B25" s="119" t="s">
        <v>320</v>
      </c>
      <c r="C25" s="23" t="s">
        <v>17</v>
      </c>
      <c r="D25" s="45"/>
      <c r="E25" s="26"/>
      <c r="F25" s="26">
        <v>0</v>
      </c>
      <c r="G25" s="26">
        <f t="shared" si="5"/>
        <v>0</v>
      </c>
      <c r="H25" s="26">
        <v>70000</v>
      </c>
      <c r="I25" s="26">
        <f t="shared" si="4"/>
        <v>70000</v>
      </c>
      <c r="J25" s="127">
        <f t="shared" si="6"/>
        <v>70000</v>
      </c>
      <c r="K25" s="127">
        <f t="shared" si="6"/>
        <v>70000</v>
      </c>
    </row>
    <row r="26" spans="1:11" s="5" customFormat="1" ht="15.75">
      <c r="A26" s="103">
        <v>68</v>
      </c>
      <c r="B26" s="119" t="s">
        <v>321</v>
      </c>
      <c r="C26" s="23"/>
      <c r="D26" s="45"/>
      <c r="E26" s="26"/>
      <c r="F26" s="26">
        <v>0</v>
      </c>
      <c r="G26" s="26">
        <f t="shared" si="5"/>
        <v>0</v>
      </c>
      <c r="H26" s="26">
        <v>8000</v>
      </c>
      <c r="I26" s="26">
        <f t="shared" si="4"/>
        <v>8000</v>
      </c>
      <c r="J26" s="127">
        <f t="shared" si="6"/>
        <v>8000</v>
      </c>
      <c r="K26" s="127">
        <f t="shared" si="6"/>
        <v>8000</v>
      </c>
    </row>
    <row r="27" spans="1:11" s="5" customFormat="1" ht="15.75">
      <c r="A27" s="103">
        <v>69</v>
      </c>
      <c r="B27" s="119" t="s">
        <v>322</v>
      </c>
      <c r="C27" s="23"/>
      <c r="D27" s="45"/>
      <c r="E27" s="26"/>
      <c r="F27" s="26">
        <v>0</v>
      </c>
      <c r="G27" s="26">
        <f t="shared" si="5"/>
        <v>0</v>
      </c>
      <c r="H27" s="26">
        <v>6600</v>
      </c>
      <c r="I27" s="26">
        <f t="shared" si="4"/>
        <v>6600</v>
      </c>
      <c r="J27" s="127">
        <f t="shared" si="6"/>
        <v>6600</v>
      </c>
      <c r="K27" s="127">
        <f t="shared" si="6"/>
        <v>6600</v>
      </c>
    </row>
    <row r="28" spans="1:11" s="5" customFormat="1" ht="15.75">
      <c r="A28" s="103">
        <v>70</v>
      </c>
      <c r="B28" s="119" t="s">
        <v>323</v>
      </c>
      <c r="C28" s="23"/>
      <c r="D28" s="45"/>
      <c r="E28" s="26"/>
      <c r="F28" s="26">
        <v>0</v>
      </c>
      <c r="G28" s="26">
        <f t="shared" si="5"/>
        <v>0</v>
      </c>
      <c r="H28" s="26">
        <v>1000</v>
      </c>
      <c r="I28" s="26">
        <f t="shared" si="4"/>
        <v>1000</v>
      </c>
      <c r="J28" s="127">
        <f t="shared" si="6"/>
        <v>1000</v>
      </c>
      <c r="K28" s="127">
        <f t="shared" si="6"/>
        <v>1000</v>
      </c>
    </row>
    <row r="29" spans="1:11" s="5" customFormat="1" ht="15.75">
      <c r="A29" s="103">
        <v>71</v>
      </c>
      <c r="B29" s="119" t="s">
        <v>324</v>
      </c>
      <c r="C29" s="23"/>
      <c r="D29" s="45"/>
      <c r="E29" s="26"/>
      <c r="F29" s="26">
        <v>0</v>
      </c>
      <c r="G29" s="26">
        <f t="shared" si="5"/>
        <v>0</v>
      </c>
      <c r="H29" s="26">
        <v>735.84</v>
      </c>
      <c r="I29" s="26">
        <f t="shared" si="4"/>
        <v>735.84</v>
      </c>
      <c r="J29" s="127">
        <f t="shared" si="6"/>
        <v>735.84</v>
      </c>
      <c r="K29" s="127">
        <f t="shared" si="6"/>
        <v>735.84</v>
      </c>
    </row>
    <row r="30" spans="1:11" s="5" customFormat="1" ht="31.5">
      <c r="A30" s="103">
        <v>42</v>
      </c>
      <c r="B30" s="119" t="s">
        <v>138</v>
      </c>
      <c r="C30" s="23" t="s">
        <v>139</v>
      </c>
      <c r="D30" s="24">
        <v>300</v>
      </c>
      <c r="E30" s="26">
        <v>500</v>
      </c>
      <c r="F30" s="26">
        <v>150000</v>
      </c>
      <c r="G30" s="26">
        <f t="shared" si="5"/>
        <v>150000</v>
      </c>
      <c r="H30" s="26">
        <v>-9000</v>
      </c>
      <c r="I30" s="26">
        <f t="shared" si="4"/>
        <v>-9000</v>
      </c>
      <c r="J30" s="127">
        <f t="shared" si="6"/>
        <v>141000</v>
      </c>
      <c r="K30" s="127">
        <f t="shared" si="6"/>
        <v>141000</v>
      </c>
    </row>
    <row r="31" spans="1:11" s="5" customFormat="1" ht="31.5">
      <c r="A31" s="103">
        <v>43</v>
      </c>
      <c r="B31" s="119" t="s">
        <v>140</v>
      </c>
      <c r="C31" s="23" t="s">
        <v>139</v>
      </c>
      <c r="D31" s="24">
        <v>204</v>
      </c>
      <c r="E31" s="26">
        <v>65</v>
      </c>
      <c r="F31" s="26">
        <v>13260</v>
      </c>
      <c r="G31" s="26">
        <f t="shared" si="5"/>
        <v>13260</v>
      </c>
      <c r="H31" s="26">
        <v>-2800</v>
      </c>
      <c r="I31" s="26">
        <f t="shared" si="4"/>
        <v>-2800</v>
      </c>
      <c r="J31" s="127">
        <f t="shared" si="6"/>
        <v>10460</v>
      </c>
      <c r="K31" s="127">
        <f t="shared" si="6"/>
        <v>10460</v>
      </c>
    </row>
    <row r="32" spans="1:11" s="5" customFormat="1" ht="15.75">
      <c r="A32" s="103"/>
      <c r="B32" s="119" t="s">
        <v>317</v>
      </c>
      <c r="C32" s="23"/>
      <c r="D32" s="24"/>
      <c r="E32" s="26"/>
      <c r="F32" s="26">
        <v>0</v>
      </c>
      <c r="G32" s="26">
        <f t="shared" si="5"/>
        <v>0</v>
      </c>
      <c r="H32" s="26">
        <v>2800</v>
      </c>
      <c r="I32" s="26">
        <f t="shared" si="4"/>
        <v>2800</v>
      </c>
      <c r="J32" s="127">
        <f t="shared" si="6"/>
        <v>2800</v>
      </c>
      <c r="K32" s="127">
        <f t="shared" si="6"/>
        <v>2800</v>
      </c>
    </row>
    <row r="33" spans="1:11" s="5" customFormat="1" ht="15.75">
      <c r="A33" s="103">
        <v>45</v>
      </c>
      <c r="B33" s="119" t="s">
        <v>172</v>
      </c>
      <c r="C33" s="44" t="s">
        <v>35</v>
      </c>
      <c r="D33" s="45">
        <v>1</v>
      </c>
      <c r="E33" s="26">
        <v>3500</v>
      </c>
      <c r="F33" s="26">
        <v>3500</v>
      </c>
      <c r="G33" s="26">
        <f t="shared" si="5"/>
        <v>3500</v>
      </c>
      <c r="H33" s="26">
        <v>-500</v>
      </c>
      <c r="I33" s="26">
        <f t="shared" si="4"/>
        <v>-500</v>
      </c>
      <c r="J33" s="127">
        <f t="shared" si="6"/>
        <v>3000</v>
      </c>
      <c r="K33" s="127">
        <f t="shared" si="6"/>
        <v>3000</v>
      </c>
    </row>
    <row r="34" spans="1:11" s="5" customFormat="1" ht="15.75">
      <c r="A34" s="103">
        <v>50</v>
      </c>
      <c r="B34" s="119" t="s">
        <v>216</v>
      </c>
      <c r="C34" s="44" t="s">
        <v>199</v>
      </c>
      <c r="D34" s="45">
        <v>30</v>
      </c>
      <c r="E34" s="26">
        <v>500</v>
      </c>
      <c r="F34" s="26">
        <f>E34*D34</f>
        <v>15000</v>
      </c>
      <c r="G34" s="26">
        <f t="shared" si="5"/>
        <v>15000</v>
      </c>
      <c r="H34" s="26">
        <v>900</v>
      </c>
      <c r="I34" s="26">
        <f t="shared" si="4"/>
        <v>900</v>
      </c>
      <c r="J34" s="127">
        <f t="shared" si="6"/>
        <v>15900</v>
      </c>
      <c r="K34" s="127">
        <f t="shared" si="6"/>
        <v>15900</v>
      </c>
    </row>
    <row r="35" spans="1:11" s="5" customFormat="1" ht="15.75">
      <c r="A35" s="103">
        <v>51</v>
      </c>
      <c r="B35" s="119" t="s">
        <v>217</v>
      </c>
      <c r="C35" s="44" t="s">
        <v>199</v>
      </c>
      <c r="D35" s="45">
        <v>1</v>
      </c>
      <c r="E35" s="26">
        <v>50000</v>
      </c>
      <c r="F35" s="26">
        <v>50000</v>
      </c>
      <c r="G35" s="26">
        <f t="shared" si="5"/>
        <v>50000</v>
      </c>
      <c r="H35" s="26">
        <v>9500</v>
      </c>
      <c r="I35" s="26">
        <f t="shared" si="4"/>
        <v>9500</v>
      </c>
      <c r="J35" s="127">
        <f t="shared" si="6"/>
        <v>59500</v>
      </c>
      <c r="K35" s="127">
        <f t="shared" si="6"/>
        <v>59500</v>
      </c>
    </row>
    <row r="36" spans="1:11" s="5" customFormat="1" ht="15.75">
      <c r="A36" s="103">
        <v>54</v>
      </c>
      <c r="B36" s="119" t="s">
        <v>237</v>
      </c>
      <c r="C36" s="44" t="s">
        <v>236</v>
      </c>
      <c r="D36" s="45">
        <v>5</v>
      </c>
      <c r="E36" s="26">
        <v>1580</v>
      </c>
      <c r="F36" s="26">
        <f>D36*E36</f>
        <v>7900</v>
      </c>
      <c r="G36" s="26">
        <f t="shared" si="5"/>
        <v>7900</v>
      </c>
      <c r="H36" s="26">
        <v>-900</v>
      </c>
      <c r="I36" s="26">
        <f t="shared" si="4"/>
        <v>-900</v>
      </c>
      <c r="J36" s="127">
        <f t="shared" si="6"/>
        <v>7000</v>
      </c>
      <c r="K36" s="127">
        <f t="shared" si="6"/>
        <v>7000</v>
      </c>
    </row>
    <row r="37" spans="1:11" s="6" customFormat="1" ht="15.75">
      <c r="A37" s="103">
        <v>83</v>
      </c>
      <c r="B37" s="119" t="s">
        <v>221</v>
      </c>
      <c r="C37" s="23" t="s">
        <v>17</v>
      </c>
      <c r="D37" s="24">
        <v>1</v>
      </c>
      <c r="E37" s="26">
        <v>126240</v>
      </c>
      <c r="F37" s="26">
        <v>126240</v>
      </c>
      <c r="G37" s="26">
        <f t="shared" si="5"/>
        <v>126240</v>
      </c>
      <c r="H37" s="26">
        <v>-2300</v>
      </c>
      <c r="I37" s="26">
        <f t="shared" si="4"/>
        <v>-2300</v>
      </c>
      <c r="J37" s="127">
        <f t="shared" si="6"/>
        <v>123940</v>
      </c>
      <c r="K37" s="127">
        <f t="shared" si="6"/>
        <v>123940</v>
      </c>
    </row>
    <row r="38" spans="1:11" s="6" customFormat="1" ht="31.5">
      <c r="A38" s="103">
        <v>84</v>
      </c>
      <c r="B38" s="119" t="s">
        <v>56</v>
      </c>
      <c r="C38" s="23" t="s">
        <v>17</v>
      </c>
      <c r="D38" s="24">
        <v>1</v>
      </c>
      <c r="E38" s="26">
        <v>386600</v>
      </c>
      <c r="F38" s="26">
        <v>386600</v>
      </c>
      <c r="G38" s="26">
        <f t="shared" si="5"/>
        <v>386600</v>
      </c>
      <c r="H38" s="26">
        <v>-130000</v>
      </c>
      <c r="I38" s="26">
        <f t="shared" si="4"/>
        <v>-130000</v>
      </c>
      <c r="J38" s="127">
        <f t="shared" si="6"/>
        <v>256600</v>
      </c>
      <c r="K38" s="127">
        <f t="shared" si="6"/>
        <v>256600</v>
      </c>
    </row>
    <row r="39" spans="1:11" s="6" customFormat="1" ht="15.75">
      <c r="A39" s="103">
        <v>85</v>
      </c>
      <c r="B39" s="119" t="s">
        <v>58</v>
      </c>
      <c r="C39" s="23" t="s">
        <v>17</v>
      </c>
      <c r="D39" s="24">
        <v>1</v>
      </c>
      <c r="E39" s="26">
        <v>157700</v>
      </c>
      <c r="F39" s="26">
        <v>157700</v>
      </c>
      <c r="G39" s="26">
        <f t="shared" si="5"/>
        <v>157700</v>
      </c>
      <c r="H39" s="26">
        <f>2300+130000</f>
        <v>132300</v>
      </c>
      <c r="I39" s="26">
        <f t="shared" si="4"/>
        <v>132300</v>
      </c>
      <c r="J39" s="127">
        <f t="shared" si="6"/>
        <v>290000</v>
      </c>
      <c r="K39" s="127">
        <f t="shared" si="6"/>
        <v>290000</v>
      </c>
    </row>
    <row r="40" spans="1:11" s="6" customFormat="1" ht="31.5">
      <c r="A40" s="103">
        <v>89</v>
      </c>
      <c r="B40" s="119" t="s">
        <v>319</v>
      </c>
      <c r="C40" s="23" t="s">
        <v>17</v>
      </c>
      <c r="D40" s="24">
        <v>1</v>
      </c>
      <c r="E40" s="26">
        <v>100000</v>
      </c>
      <c r="F40" s="26">
        <v>100000</v>
      </c>
      <c r="G40" s="26">
        <f t="shared" si="5"/>
        <v>100000</v>
      </c>
      <c r="H40" s="26">
        <v>-100000</v>
      </c>
      <c r="I40" s="26">
        <f t="shared" si="4"/>
        <v>-100000</v>
      </c>
      <c r="J40" s="127">
        <f t="shared" si="6"/>
        <v>0</v>
      </c>
      <c r="K40" s="127">
        <f t="shared" si="6"/>
        <v>0</v>
      </c>
    </row>
    <row r="41" spans="1:11" s="6" customFormat="1" ht="15.75">
      <c r="A41" s="103">
        <v>89</v>
      </c>
      <c r="B41" s="119" t="s">
        <v>318</v>
      </c>
      <c r="C41" s="23" t="s">
        <v>17</v>
      </c>
      <c r="D41" s="24">
        <v>1</v>
      </c>
      <c r="E41" s="26"/>
      <c r="F41" s="26">
        <v>0</v>
      </c>
      <c r="G41" s="26">
        <f t="shared" si="5"/>
        <v>0</v>
      </c>
      <c r="H41" s="26">
        <v>100000</v>
      </c>
      <c r="I41" s="26">
        <f t="shared" si="4"/>
        <v>100000</v>
      </c>
      <c r="J41" s="127">
        <f t="shared" si="6"/>
        <v>100000</v>
      </c>
      <c r="K41" s="127">
        <f t="shared" si="6"/>
        <v>100000</v>
      </c>
    </row>
    <row r="42" spans="1:11" s="6" customFormat="1" ht="31.5">
      <c r="A42" s="103">
        <v>92</v>
      </c>
      <c r="B42" s="119" t="s">
        <v>64</v>
      </c>
      <c r="C42" s="23" t="s">
        <v>17</v>
      </c>
      <c r="D42" s="24">
        <v>1</v>
      </c>
      <c r="E42" s="26">
        <v>3697507.5</v>
      </c>
      <c r="F42" s="26">
        <f t="shared" ref="F42:F50" si="7">E42</f>
        <v>3697507.5</v>
      </c>
      <c r="G42" s="26">
        <f t="shared" si="5"/>
        <v>3697507.5</v>
      </c>
      <c r="H42" s="26">
        <v>-2135900</v>
      </c>
      <c r="I42" s="26">
        <f t="shared" si="4"/>
        <v>-2135900</v>
      </c>
      <c r="J42" s="127">
        <f t="shared" ref="J42:K63" si="8">F42+H42</f>
        <v>1561607.5</v>
      </c>
      <c r="K42" s="127">
        <f t="shared" si="8"/>
        <v>1561607.5</v>
      </c>
    </row>
    <row r="43" spans="1:11" s="6" customFormat="1" ht="15.75">
      <c r="A43" s="103">
        <v>93</v>
      </c>
      <c r="B43" s="119" t="s">
        <v>234</v>
      </c>
      <c r="C43" s="23" t="s">
        <v>17</v>
      </c>
      <c r="D43" s="24">
        <v>1</v>
      </c>
      <c r="E43" s="26">
        <v>3499300</v>
      </c>
      <c r="F43" s="26">
        <f t="shared" si="7"/>
        <v>3499300</v>
      </c>
      <c r="G43" s="26">
        <f t="shared" si="5"/>
        <v>3499300</v>
      </c>
      <c r="H43" s="26">
        <v>2135900</v>
      </c>
      <c r="I43" s="26">
        <f t="shared" si="4"/>
        <v>2135900</v>
      </c>
      <c r="J43" s="127">
        <f t="shared" si="8"/>
        <v>5635200</v>
      </c>
      <c r="K43" s="127">
        <f t="shared" si="8"/>
        <v>5635200</v>
      </c>
    </row>
    <row r="44" spans="1:11" s="6" customFormat="1" ht="31.5">
      <c r="A44" s="103">
        <v>1</v>
      </c>
      <c r="B44" s="120" t="s">
        <v>16</v>
      </c>
      <c r="C44" s="23" t="s">
        <v>17</v>
      </c>
      <c r="D44" s="24">
        <v>1</v>
      </c>
      <c r="E44" s="26">
        <v>75000</v>
      </c>
      <c r="F44" s="26">
        <f t="shared" si="7"/>
        <v>75000</v>
      </c>
      <c r="G44" s="26">
        <f t="shared" si="5"/>
        <v>75000</v>
      </c>
      <c r="H44" s="26">
        <v>55000</v>
      </c>
      <c r="I44" s="26">
        <f t="shared" si="4"/>
        <v>55000</v>
      </c>
      <c r="J44" s="127">
        <f t="shared" si="8"/>
        <v>130000</v>
      </c>
      <c r="K44" s="127">
        <f t="shared" si="8"/>
        <v>130000</v>
      </c>
    </row>
    <row r="45" spans="1:11" s="6" customFormat="1" ht="31.5">
      <c r="A45" s="103">
        <v>2</v>
      </c>
      <c r="B45" s="121" t="s">
        <v>21</v>
      </c>
      <c r="C45" s="23" t="s">
        <v>17</v>
      </c>
      <c r="D45" s="24">
        <v>1</v>
      </c>
      <c r="E45" s="26">
        <v>6846000</v>
      </c>
      <c r="F45" s="26">
        <f t="shared" si="7"/>
        <v>6846000</v>
      </c>
      <c r="G45" s="26">
        <f t="shared" si="5"/>
        <v>6846000</v>
      </c>
      <c r="H45" s="26">
        <v>-55000</v>
      </c>
      <c r="I45" s="26">
        <f t="shared" si="4"/>
        <v>-55000</v>
      </c>
      <c r="J45" s="127">
        <f t="shared" si="8"/>
        <v>6791000</v>
      </c>
      <c r="K45" s="127">
        <f t="shared" si="8"/>
        <v>6791000</v>
      </c>
    </row>
    <row r="46" spans="1:11" s="6" customFormat="1" ht="15.75">
      <c r="A46" s="103">
        <v>97</v>
      </c>
      <c r="B46" s="122" t="s">
        <v>337</v>
      </c>
      <c r="C46" s="23" t="s">
        <v>17</v>
      </c>
      <c r="D46" s="24">
        <v>1</v>
      </c>
      <c r="E46" s="26">
        <v>2258174.8928571427</v>
      </c>
      <c r="F46" s="26">
        <f t="shared" si="7"/>
        <v>2258174.8928571427</v>
      </c>
      <c r="G46" s="26">
        <f>F46*1.12</f>
        <v>2529155.88</v>
      </c>
      <c r="H46" s="26">
        <v>-600000</v>
      </c>
      <c r="I46" s="26">
        <f>H46*1.12</f>
        <v>-672000.00000000012</v>
      </c>
      <c r="J46" s="127">
        <f t="shared" si="8"/>
        <v>1658174.8928571427</v>
      </c>
      <c r="K46" s="127">
        <f t="shared" si="8"/>
        <v>1857155.88</v>
      </c>
    </row>
    <row r="47" spans="1:11" s="6" customFormat="1" ht="31.5">
      <c r="A47" s="103">
        <v>72</v>
      </c>
      <c r="B47" s="122" t="s">
        <v>335</v>
      </c>
      <c r="C47" s="23" t="s">
        <v>17</v>
      </c>
      <c r="D47" s="24">
        <v>1</v>
      </c>
      <c r="E47" s="26">
        <v>600000</v>
      </c>
      <c r="F47" s="26">
        <f t="shared" si="7"/>
        <v>600000</v>
      </c>
      <c r="G47" s="26">
        <f t="shared" si="5"/>
        <v>600000</v>
      </c>
      <c r="H47" s="26">
        <v>600000</v>
      </c>
      <c r="I47" s="26">
        <f>H47*1.12</f>
        <v>672000.00000000012</v>
      </c>
      <c r="J47" s="127">
        <f t="shared" si="8"/>
        <v>1200000</v>
      </c>
      <c r="K47" s="127">
        <f t="shared" si="8"/>
        <v>1272000</v>
      </c>
    </row>
    <row r="48" spans="1:11" s="6" customFormat="1" ht="15.75">
      <c r="A48" s="103">
        <v>90</v>
      </c>
      <c r="B48" s="119" t="s">
        <v>63</v>
      </c>
      <c r="C48" s="23" t="s">
        <v>17</v>
      </c>
      <c r="D48" s="24">
        <v>1</v>
      </c>
      <c r="E48" s="26">
        <v>260357.14285714284</v>
      </c>
      <c r="F48" s="26">
        <f t="shared" si="7"/>
        <v>260357.14285714284</v>
      </c>
      <c r="G48" s="26">
        <f t="shared" si="5"/>
        <v>260357.14285714284</v>
      </c>
      <c r="H48" s="26">
        <v>-260357.14</v>
      </c>
      <c r="I48" s="26">
        <f t="shared" si="4"/>
        <v>-260357.14</v>
      </c>
      <c r="J48" s="127">
        <f t="shared" si="8"/>
        <v>2.8571428265422583E-3</v>
      </c>
      <c r="K48" s="127">
        <f t="shared" si="8"/>
        <v>2.8571428265422583E-3</v>
      </c>
    </row>
    <row r="49" spans="1:11" s="6" customFormat="1" ht="15.75">
      <c r="A49" s="103">
        <v>91</v>
      </c>
      <c r="B49" s="119" t="s">
        <v>192</v>
      </c>
      <c r="C49" s="23" t="s">
        <v>17</v>
      </c>
      <c r="D49" s="24">
        <v>1</v>
      </c>
      <c r="E49" s="26">
        <v>390535.71428571426</v>
      </c>
      <c r="F49" s="26">
        <f t="shared" si="7"/>
        <v>390535.71428571426</v>
      </c>
      <c r="G49" s="26">
        <f t="shared" si="5"/>
        <v>390535.71428571426</v>
      </c>
      <c r="H49" s="26">
        <v>-390535.71</v>
      </c>
      <c r="I49" s="26">
        <f t="shared" si="4"/>
        <v>-390535.71</v>
      </c>
      <c r="J49" s="127">
        <f t="shared" si="8"/>
        <v>4.2857142398133874E-3</v>
      </c>
      <c r="K49" s="127">
        <f t="shared" si="8"/>
        <v>4.2857142398133874E-3</v>
      </c>
    </row>
    <row r="50" spans="1:11" s="6" customFormat="1" ht="22.15" customHeight="1">
      <c r="A50" s="103">
        <v>73</v>
      </c>
      <c r="B50" s="123" t="s">
        <v>336</v>
      </c>
      <c r="C50" s="23" t="s">
        <v>17</v>
      </c>
      <c r="D50" s="24">
        <v>1</v>
      </c>
      <c r="E50" s="26"/>
      <c r="F50" s="26">
        <f t="shared" si="7"/>
        <v>0</v>
      </c>
      <c r="G50" s="26">
        <f t="shared" si="5"/>
        <v>0</v>
      </c>
      <c r="H50" s="26">
        <v>650892.85</v>
      </c>
      <c r="I50" s="26">
        <f t="shared" si="4"/>
        <v>650892.85</v>
      </c>
      <c r="J50" s="127">
        <f t="shared" si="8"/>
        <v>650892.85</v>
      </c>
      <c r="K50" s="127">
        <f t="shared" si="8"/>
        <v>650892.85</v>
      </c>
    </row>
    <row r="51" spans="1:11" s="6" customFormat="1" ht="15.75">
      <c r="A51" s="103">
        <v>37</v>
      </c>
      <c r="B51" s="122" t="s">
        <v>101</v>
      </c>
      <c r="C51" s="23" t="s">
        <v>35</v>
      </c>
      <c r="D51" s="24">
        <v>17</v>
      </c>
      <c r="E51" s="46">
        <f>29073.6/1.12</f>
        <v>25958.571428571424</v>
      </c>
      <c r="F51" s="26">
        <f t="shared" ref="F51:F63" si="9">D51*E51</f>
        <v>441295.7142857142</v>
      </c>
      <c r="G51" s="26">
        <f>F51*1.12</f>
        <v>494251.19999999995</v>
      </c>
      <c r="H51" s="26">
        <v>-441295.71</v>
      </c>
      <c r="I51" s="26">
        <f>H51*1.12</f>
        <v>-494251.19520000007</v>
      </c>
      <c r="J51" s="127">
        <f t="shared" si="8"/>
        <v>4.2857141816057265E-3</v>
      </c>
      <c r="K51" s="127">
        <f t="shared" si="8"/>
        <v>4.7999998787418008E-3</v>
      </c>
    </row>
    <row r="52" spans="1:11" ht="32.450000000000003" customHeight="1">
      <c r="A52" s="103">
        <v>38</v>
      </c>
      <c r="B52" s="123" t="s">
        <v>102</v>
      </c>
      <c r="C52" s="23" t="s">
        <v>35</v>
      </c>
      <c r="D52" s="24">
        <v>5</v>
      </c>
      <c r="E52" s="46">
        <f>604800/1.12</f>
        <v>540000</v>
      </c>
      <c r="F52" s="26">
        <f t="shared" si="9"/>
        <v>2700000</v>
      </c>
      <c r="G52" s="26">
        <f>F52*1.12</f>
        <v>3024000.0000000005</v>
      </c>
      <c r="H52" s="26">
        <v>378000</v>
      </c>
      <c r="I52" s="26">
        <f>H52*1.12</f>
        <v>423360.00000000006</v>
      </c>
      <c r="J52" s="127">
        <f t="shared" si="8"/>
        <v>3078000</v>
      </c>
      <c r="K52" s="127">
        <f t="shared" si="8"/>
        <v>3447360.0000000005</v>
      </c>
    </row>
    <row r="53" spans="1:11" ht="15.75">
      <c r="A53" s="103">
        <v>40</v>
      </c>
      <c r="B53" s="123" t="s">
        <v>104</v>
      </c>
      <c r="C53" s="23" t="s">
        <v>35</v>
      </c>
      <c r="D53" s="24">
        <v>17</v>
      </c>
      <c r="E53" s="46">
        <f>25509.6/1.12</f>
        <v>22776.428571428569</v>
      </c>
      <c r="F53" s="26">
        <f t="shared" si="9"/>
        <v>387199.28571428568</v>
      </c>
      <c r="G53" s="26">
        <f t="shared" ref="G53:G63" si="10">F53*1.12</f>
        <v>433663.2</v>
      </c>
      <c r="H53" s="26">
        <v>-387199.29</v>
      </c>
      <c r="I53" s="26">
        <f>H53*1.12</f>
        <v>-433663.20480000001</v>
      </c>
      <c r="J53" s="127">
        <f t="shared" si="8"/>
        <v>-4.2857142980210483E-3</v>
      </c>
      <c r="K53" s="127">
        <f t="shared" si="8"/>
        <v>-4.7999999951571226E-3</v>
      </c>
    </row>
    <row r="54" spans="1:11" ht="15.75">
      <c r="A54" s="103">
        <v>42</v>
      </c>
      <c r="B54" s="123" t="s">
        <v>106</v>
      </c>
      <c r="C54" s="23" t="s">
        <v>35</v>
      </c>
      <c r="D54" s="24">
        <v>17</v>
      </c>
      <c r="E54" s="46">
        <f>55868.4/1.12</f>
        <v>49882.5</v>
      </c>
      <c r="F54" s="26">
        <f t="shared" si="9"/>
        <v>848002.5</v>
      </c>
      <c r="G54" s="26">
        <f t="shared" si="10"/>
        <v>949762.8</v>
      </c>
      <c r="H54" s="26">
        <v>-848002.5</v>
      </c>
      <c r="I54" s="26">
        <f t="shared" ref="I54:I63" si="11">H54*1.12</f>
        <v>-949762.8</v>
      </c>
      <c r="J54" s="127">
        <f t="shared" si="8"/>
        <v>0</v>
      </c>
      <c r="K54" s="127">
        <f t="shared" si="8"/>
        <v>0</v>
      </c>
    </row>
    <row r="55" spans="1:11" ht="30" customHeight="1">
      <c r="A55" s="103">
        <v>43</v>
      </c>
      <c r="B55" s="123" t="s">
        <v>107</v>
      </c>
      <c r="C55" s="23" t="s">
        <v>35</v>
      </c>
      <c r="D55" s="24">
        <v>2</v>
      </c>
      <c r="E55" s="46">
        <f>756000/1.12</f>
        <v>674999.99999999988</v>
      </c>
      <c r="F55" s="26">
        <f t="shared" si="9"/>
        <v>1349999.9999999998</v>
      </c>
      <c r="G55" s="26">
        <f t="shared" si="10"/>
        <v>1511999.9999999998</v>
      </c>
      <c r="H55" s="26">
        <v>189000</v>
      </c>
      <c r="I55" s="26">
        <f t="shared" si="11"/>
        <v>211680.00000000003</v>
      </c>
      <c r="J55" s="127">
        <f t="shared" si="8"/>
        <v>1538999.9999999998</v>
      </c>
      <c r="K55" s="127">
        <f t="shared" si="8"/>
        <v>1723679.9999999998</v>
      </c>
    </row>
    <row r="56" spans="1:11" ht="31.5">
      <c r="A56" s="103">
        <v>44</v>
      </c>
      <c r="B56" s="123" t="s">
        <v>108</v>
      </c>
      <c r="C56" s="23" t="s">
        <v>35</v>
      </c>
      <c r="D56" s="24">
        <v>6</v>
      </c>
      <c r="E56" s="46">
        <f>1188000/1.12</f>
        <v>1060714.2857142857</v>
      </c>
      <c r="F56" s="46">
        <f t="shared" si="9"/>
        <v>6364285.7142857146</v>
      </c>
      <c r="G56" s="26">
        <f t="shared" si="10"/>
        <v>7128000.0000000009</v>
      </c>
      <c r="H56" s="26">
        <v>891000</v>
      </c>
      <c r="I56" s="26">
        <f t="shared" si="11"/>
        <v>997920.00000000012</v>
      </c>
      <c r="J56" s="127">
        <f t="shared" si="8"/>
        <v>7255285.7142857146</v>
      </c>
      <c r="K56" s="127">
        <f t="shared" si="8"/>
        <v>8125920.0000000009</v>
      </c>
    </row>
    <row r="57" spans="1:11" ht="15.75">
      <c r="A57" s="103">
        <v>45</v>
      </c>
      <c r="B57" s="123" t="s">
        <v>109</v>
      </c>
      <c r="C57" s="23" t="s">
        <v>35</v>
      </c>
      <c r="D57" s="24">
        <v>5</v>
      </c>
      <c r="E57" s="46">
        <f>75600/1.12</f>
        <v>67500</v>
      </c>
      <c r="F57" s="46">
        <f t="shared" si="9"/>
        <v>337500</v>
      </c>
      <c r="G57" s="26">
        <f t="shared" si="10"/>
        <v>378000.00000000006</v>
      </c>
      <c r="H57" s="46">
        <v>33750</v>
      </c>
      <c r="I57" s="26">
        <f t="shared" si="11"/>
        <v>37800</v>
      </c>
      <c r="J57" s="127">
        <f t="shared" si="8"/>
        <v>371250</v>
      </c>
      <c r="K57" s="127">
        <f t="shared" si="8"/>
        <v>415800.00000000006</v>
      </c>
    </row>
    <row r="58" spans="1:11" ht="15.75">
      <c r="A58" s="103">
        <v>46</v>
      </c>
      <c r="B58" s="123" t="s">
        <v>110</v>
      </c>
      <c r="C58" s="23" t="s">
        <v>35</v>
      </c>
      <c r="D58" s="24">
        <v>27</v>
      </c>
      <c r="E58" s="46">
        <f>3024/1.12</f>
        <v>2699.9999999999995</v>
      </c>
      <c r="F58" s="46">
        <f t="shared" si="9"/>
        <v>72899.999999999985</v>
      </c>
      <c r="G58" s="26">
        <f t="shared" si="10"/>
        <v>81647.999999999985</v>
      </c>
      <c r="H58" s="46">
        <v>2916</v>
      </c>
      <c r="I58" s="26">
        <f t="shared" si="11"/>
        <v>3265.9200000000005</v>
      </c>
      <c r="J58" s="127">
        <f t="shared" si="8"/>
        <v>75815.999999999985</v>
      </c>
      <c r="K58" s="127">
        <f t="shared" si="8"/>
        <v>84913.919999999984</v>
      </c>
    </row>
    <row r="59" spans="1:11" ht="15.75">
      <c r="A59" s="103">
        <v>47</v>
      </c>
      <c r="B59" s="123" t="s">
        <v>111</v>
      </c>
      <c r="C59" s="23" t="s">
        <v>35</v>
      </c>
      <c r="D59" s="24">
        <v>23</v>
      </c>
      <c r="E59" s="46">
        <f>9180/1.12</f>
        <v>8196.4285714285706</v>
      </c>
      <c r="F59" s="46">
        <f t="shared" si="9"/>
        <v>188517.85714285713</v>
      </c>
      <c r="G59" s="26">
        <f t="shared" si="10"/>
        <v>211140</v>
      </c>
      <c r="H59" s="46">
        <v>7540.72</v>
      </c>
      <c r="I59" s="26">
        <f t="shared" si="11"/>
        <v>8445.6064000000006</v>
      </c>
      <c r="J59" s="127">
        <f t="shared" si="8"/>
        <v>196058.57714285713</v>
      </c>
      <c r="K59" s="127">
        <f t="shared" si="8"/>
        <v>219585.60639999999</v>
      </c>
    </row>
    <row r="60" spans="1:11" ht="15.75">
      <c r="A60" s="103">
        <v>49</v>
      </c>
      <c r="B60" s="123" t="s">
        <v>304</v>
      </c>
      <c r="C60" s="23" t="s">
        <v>35</v>
      </c>
      <c r="D60" s="24">
        <v>13</v>
      </c>
      <c r="E60" s="46">
        <v>45900</v>
      </c>
      <c r="F60" s="46">
        <f t="shared" si="9"/>
        <v>596700</v>
      </c>
      <c r="G60" s="26">
        <f t="shared" si="10"/>
        <v>668304.00000000012</v>
      </c>
      <c r="H60" s="46">
        <v>333.64</v>
      </c>
      <c r="I60" s="26">
        <f t="shared" si="11"/>
        <v>373.67680000000001</v>
      </c>
      <c r="J60" s="127">
        <f t="shared" si="8"/>
        <v>597033.64</v>
      </c>
      <c r="K60" s="127">
        <f t="shared" si="8"/>
        <v>668677.67680000013</v>
      </c>
    </row>
    <row r="61" spans="1:11" ht="15.75">
      <c r="A61" s="103">
        <v>50</v>
      </c>
      <c r="B61" s="123" t="s">
        <v>113</v>
      </c>
      <c r="C61" s="23" t="s">
        <v>35</v>
      </c>
      <c r="D61" s="24">
        <v>1</v>
      </c>
      <c r="E61" s="46">
        <f>2538000/1.12</f>
        <v>2266071.4285714282</v>
      </c>
      <c r="F61" s="46">
        <f t="shared" si="9"/>
        <v>2266071.4285714282</v>
      </c>
      <c r="G61" s="26">
        <f t="shared" si="10"/>
        <v>2538000</v>
      </c>
      <c r="H61" s="46">
        <v>-0.13</v>
      </c>
      <c r="I61" s="26">
        <f t="shared" si="11"/>
        <v>-0.14560000000000001</v>
      </c>
      <c r="J61" s="127">
        <f t="shared" si="8"/>
        <v>2266071.2985714283</v>
      </c>
      <c r="K61" s="127">
        <f t="shared" si="8"/>
        <v>2537999.8544000001</v>
      </c>
    </row>
    <row r="62" spans="1:11" ht="47.25">
      <c r="A62" s="103">
        <v>51</v>
      </c>
      <c r="B62" s="123" t="s">
        <v>114</v>
      </c>
      <c r="C62" s="23" t="s">
        <v>35</v>
      </c>
      <c r="D62" s="24">
        <v>27</v>
      </c>
      <c r="E62" s="46">
        <f>39960/1.12</f>
        <v>35678.571428571428</v>
      </c>
      <c r="F62" s="46">
        <f t="shared" si="9"/>
        <v>963321.42857142852</v>
      </c>
      <c r="G62" s="26">
        <f>F62*1.12</f>
        <v>1078920</v>
      </c>
      <c r="H62" s="46">
        <v>96332.14</v>
      </c>
      <c r="I62" s="26">
        <f t="shared" si="11"/>
        <v>107891.99680000001</v>
      </c>
      <c r="J62" s="127">
        <f t="shared" si="8"/>
        <v>1059653.5685714285</v>
      </c>
      <c r="K62" s="127">
        <f t="shared" si="8"/>
        <v>1186811.9968000001</v>
      </c>
    </row>
    <row r="63" spans="1:11" ht="32.25" thickBot="1">
      <c r="A63" s="128">
        <v>52</v>
      </c>
      <c r="B63" s="124" t="s">
        <v>115</v>
      </c>
      <c r="C63" s="93" t="s">
        <v>35</v>
      </c>
      <c r="D63" s="94">
        <v>23</v>
      </c>
      <c r="E63" s="118">
        <f>37800/1.12</f>
        <v>33750</v>
      </c>
      <c r="F63" s="118">
        <f t="shared" si="9"/>
        <v>776250</v>
      </c>
      <c r="G63" s="26">
        <f t="shared" si="10"/>
        <v>869400.00000000012</v>
      </c>
      <c r="H63" s="118">
        <v>77625</v>
      </c>
      <c r="I63" s="26">
        <f t="shared" si="11"/>
        <v>86940.000000000015</v>
      </c>
      <c r="J63" s="129">
        <f t="shared" si="8"/>
        <v>853875</v>
      </c>
      <c r="K63" s="129">
        <f t="shared" si="8"/>
        <v>956340.00000000012</v>
      </c>
    </row>
    <row r="64" spans="1:11" ht="25.9" customHeight="1" thickBot="1">
      <c r="A64" s="115"/>
      <c r="B64" s="116" t="s">
        <v>364</v>
      </c>
      <c r="C64" s="117"/>
      <c r="D64" s="117"/>
      <c r="E64" s="117"/>
      <c r="F64" s="192">
        <f>SUM(F6:F63)</f>
        <v>52387622.161428563</v>
      </c>
      <c r="G64" s="192">
        <f>SUM(G6:G63)</f>
        <v>56475185.27714286</v>
      </c>
      <c r="H64" s="192">
        <f>H6+H7+H8+H14+H15+H16+H17+H18+H19+H20+H21+H22+H23+H24+H30+H31+H33+H36+H37+H38+H40+H42+H45+H46+H48+H49+H51+H53+H54+H61</f>
        <v>-8410305.1699999999</v>
      </c>
      <c r="I64" s="192">
        <f>I6+I7+I8+I14+I15+I16+I17+I18+I19+I20+I21+I22+I23+I24+I30+I31+I33+I36+I37+I38+I40+I42+I45+I46+I48+I49+I51+I53+I54+I61</f>
        <v>-9031230.3476000018</v>
      </c>
      <c r="J64" s="193">
        <f>SUM(J6:J63)</f>
        <v>52387600.601428568</v>
      </c>
      <c r="K64" s="193">
        <f>SUM(K6:K63)</f>
        <v>56475161.129942857</v>
      </c>
    </row>
    <row r="65" spans="1:10" ht="19.5" thickBot="1">
      <c r="A65" s="86"/>
      <c r="B65" s="86"/>
      <c r="F65" s="86"/>
      <c r="G65" s="86"/>
      <c r="H65" s="86"/>
      <c r="I65" s="86"/>
      <c r="J65" s="86"/>
    </row>
    <row r="66" spans="1:10" ht="19.5" thickBot="1">
      <c r="F66" s="105"/>
      <c r="G66" s="105"/>
      <c r="H66" s="278">
        <f>H6+H7+H8+H14+H15+H16+H17+H18+H19+H20+H21+H22+H23+H24+H30+H31+H33+H36+H37+H38+H40+H42+H45+H46+H48+H49+H51+H53+H54+H61</f>
        <v>-8410305.1699999999</v>
      </c>
      <c r="I66" s="279">
        <f>I6+I7+I8+I14+I15+I16+I17+I18+I19+I20+I21+I22+I23+I24+I30+I31+I33+I36+I37+I38+I40+I42+I45+I46+I48+I49+I51+I53+I54+I61</f>
        <v>-9031230.3476000018</v>
      </c>
    </row>
    <row r="67" spans="1:10" ht="18.75">
      <c r="B67" s="130" t="s">
        <v>338</v>
      </c>
      <c r="C67" s="130"/>
      <c r="D67" s="130"/>
      <c r="E67" s="130"/>
      <c r="F67" s="90"/>
      <c r="G67" s="90"/>
      <c r="H67" s="90"/>
      <c r="I67" s="133"/>
    </row>
    <row r="68" spans="1:10" ht="18.75">
      <c r="B68" s="130" t="s">
        <v>431</v>
      </c>
      <c r="C68" s="130"/>
      <c r="D68" s="130"/>
      <c r="E68" s="130"/>
      <c r="F68" s="90"/>
      <c r="G68" s="90"/>
    </row>
    <row r="69" spans="1:10" ht="18.75">
      <c r="B69" s="130" t="s">
        <v>362</v>
      </c>
      <c r="C69" s="130"/>
      <c r="D69" s="130"/>
      <c r="E69" s="130"/>
      <c r="F69" s="90"/>
      <c r="G69" s="90"/>
      <c r="H69" s="90"/>
    </row>
    <row r="70" spans="1:10" ht="18.75">
      <c r="B70" s="130" t="s">
        <v>363</v>
      </c>
      <c r="C70" s="130"/>
      <c r="D70" s="130"/>
      <c r="E70" s="130"/>
    </row>
    <row r="71" spans="1:10" ht="15.75" hidden="1">
      <c r="B71" s="114" t="e">
        <f>(#REF!-#REF!)*5%</f>
        <v>#REF!</v>
      </c>
      <c r="C71" s="114" t="e">
        <f>B71*1000</f>
        <v>#REF!</v>
      </c>
      <c r="D71" s="114" t="e">
        <f>C71--#REF!</f>
        <v>#REF!</v>
      </c>
      <c r="E71" s="125"/>
    </row>
    <row r="72" spans="1:10">
      <c r="B72" s="125"/>
      <c r="C72" s="125"/>
      <c r="D72" s="125"/>
      <c r="E72" s="125"/>
    </row>
    <row r="75" spans="1:10">
      <c r="I75" s="133"/>
    </row>
    <row r="76" spans="1:10">
      <c r="E76" s="133"/>
    </row>
  </sheetData>
  <mergeCells count="12">
    <mergeCell ref="K2:K3"/>
    <mergeCell ref="A1:J1"/>
    <mergeCell ref="A2:A3"/>
    <mergeCell ref="J2:J3"/>
    <mergeCell ref="I2:I3"/>
    <mergeCell ref="D2:D3"/>
    <mergeCell ref="E2:E3"/>
    <mergeCell ref="F2:F3"/>
    <mergeCell ref="H2:H3"/>
    <mergeCell ref="B2:B3"/>
    <mergeCell ref="C2:C3"/>
    <mergeCell ref="G2:G3"/>
  </mergeCells>
  <dataValidations xWindow="1691" yWindow="377" count="3">
    <dataValidation allowBlank="1" showInputMessage="1" showErrorMessage="1" prompt="Наименование на государственном языке заполняется автоматически в соответствии с КТРУ" sqref="B33:B35 B15:B29"/>
    <dataValidation allowBlank="1" showInputMessage="1" showErrorMessage="1" prompt="Введите дополнительную характеристику на государственном языке" sqref="B36"/>
    <dataValidation allowBlank="1" showInputMessage="1" showErrorMessage="1" prompt="Единица измерения заполняется автоматически в соответствии с КТРУ" sqref="C33:C36 C15:C24 B44:B47 B51"/>
  </dataValidations>
  <pageMargins left="0.51181102362204722" right="0.11811023622047245" top="0.19685039370078741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N70"/>
  <sheetViews>
    <sheetView topLeftCell="A16" workbookViewId="0">
      <selection activeCell="A3" sqref="A3:L13"/>
    </sheetView>
  </sheetViews>
  <sheetFormatPr defaultRowHeight="15"/>
  <cols>
    <col min="1" max="1" width="7.7109375" customWidth="1"/>
    <col min="2" max="2" width="38.28515625" customWidth="1"/>
    <col min="3" max="4" width="24.42578125" customWidth="1"/>
    <col min="5" max="6" width="16.28515625" customWidth="1"/>
    <col min="7" max="7" width="22.140625" customWidth="1"/>
    <col min="8" max="8" width="15" hidden="1" customWidth="1"/>
    <col min="9" max="9" width="17.28515625" hidden="1" customWidth="1"/>
    <col min="10" max="10" width="14" hidden="1" customWidth="1"/>
    <col min="11" max="11" width="18.5703125" hidden="1" customWidth="1"/>
    <col min="12" max="12" width="20.42578125" customWidth="1"/>
    <col min="14" max="15" width="9.7109375" bestFit="1" customWidth="1"/>
  </cols>
  <sheetData>
    <row r="2" spans="1:12" ht="54.6" customHeight="1" thickBot="1">
      <c r="A2" s="425" t="s">
        <v>361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23.45" customHeight="1" thickBot="1">
      <c r="A3" s="427" t="s">
        <v>345</v>
      </c>
      <c r="B3" s="430" t="s">
        <v>330</v>
      </c>
      <c r="C3" s="427" t="s">
        <v>360</v>
      </c>
      <c r="D3" s="427" t="s">
        <v>332</v>
      </c>
      <c r="E3" s="430" t="s">
        <v>333</v>
      </c>
      <c r="F3" s="427" t="s">
        <v>334</v>
      </c>
      <c r="G3" s="427" t="s">
        <v>358</v>
      </c>
      <c r="H3" s="214"/>
      <c r="I3" s="215"/>
      <c r="J3" s="215"/>
      <c r="K3" s="216"/>
      <c r="L3" s="427" t="s">
        <v>359</v>
      </c>
    </row>
    <row r="4" spans="1:12" s="4" customFormat="1" ht="12" customHeight="1">
      <c r="A4" s="428"/>
      <c r="B4" s="431"/>
      <c r="C4" s="428"/>
      <c r="D4" s="428"/>
      <c r="E4" s="431" t="s">
        <v>278</v>
      </c>
      <c r="F4" s="428"/>
      <c r="G4" s="428"/>
      <c r="H4" s="433" t="s">
        <v>316</v>
      </c>
      <c r="I4" s="418" t="s">
        <v>281</v>
      </c>
      <c r="J4" s="418" t="s">
        <v>269</v>
      </c>
      <c r="K4" s="435" t="s">
        <v>11</v>
      </c>
      <c r="L4" s="428"/>
    </row>
    <row r="5" spans="1:12" s="4" customFormat="1" ht="48" customHeight="1" thickBot="1">
      <c r="A5" s="429"/>
      <c r="B5" s="432"/>
      <c r="C5" s="429"/>
      <c r="D5" s="429"/>
      <c r="E5" s="432"/>
      <c r="F5" s="429"/>
      <c r="G5" s="429"/>
      <c r="H5" s="434"/>
      <c r="I5" s="419"/>
      <c r="J5" s="419"/>
      <c r="K5" s="436"/>
      <c r="L5" s="429"/>
    </row>
    <row r="6" spans="1:12" s="4" customFormat="1" ht="78.75">
      <c r="A6" s="146">
        <v>9</v>
      </c>
      <c r="B6" s="150" t="s">
        <v>32</v>
      </c>
      <c r="C6" s="181">
        <v>12231557.142857142</v>
      </c>
      <c r="D6" s="181">
        <f>C6*1.12</f>
        <v>13699344</v>
      </c>
      <c r="E6" s="157">
        <f>-964285.71-1706786</f>
        <v>-2671071.71</v>
      </c>
      <c r="F6" s="154">
        <f>E6*1.12</f>
        <v>-2991600.3152000001</v>
      </c>
      <c r="G6" s="154">
        <f>C6+E6</f>
        <v>9560485.4328571409</v>
      </c>
      <c r="H6" s="131"/>
      <c r="I6" s="131"/>
      <c r="J6" s="131"/>
      <c r="K6" s="283"/>
      <c r="L6" s="154">
        <f t="shared" ref="L6:L12" si="0">G6*1.12</f>
        <v>10707743.684799999</v>
      </c>
    </row>
    <row r="7" spans="1:12" s="4" customFormat="1" ht="31.5">
      <c r="A7" s="146">
        <v>12</v>
      </c>
      <c r="B7" s="150" t="s">
        <v>276</v>
      </c>
      <c r="C7" s="181">
        <v>226785.71428571426</v>
      </c>
      <c r="D7" s="181">
        <f t="shared" ref="D7:D12" si="1">C7*1.12</f>
        <v>254000</v>
      </c>
      <c r="E7" s="157">
        <v>-226785.71</v>
      </c>
      <c r="F7" s="154">
        <f t="shared" ref="F7:F12" si="2">E7*1.12</f>
        <v>-253999.9952</v>
      </c>
      <c r="G7" s="154">
        <f t="shared" ref="G7:G12" si="3">C7+E7</f>
        <v>4.2857142689172179E-3</v>
      </c>
      <c r="H7" s="131"/>
      <c r="I7" s="131"/>
      <c r="J7" s="131"/>
      <c r="K7" s="283"/>
      <c r="L7" s="154">
        <f t="shared" si="0"/>
        <v>4.7999999811872843E-3</v>
      </c>
    </row>
    <row r="8" spans="1:12" s="4" customFormat="1" ht="16.5">
      <c r="A8" s="146">
        <v>15</v>
      </c>
      <c r="B8" s="150" t="s">
        <v>40</v>
      </c>
      <c r="C8" s="181">
        <v>334821.42857142852</v>
      </c>
      <c r="D8" s="181">
        <f t="shared" si="1"/>
        <v>375000</v>
      </c>
      <c r="E8" s="157">
        <v>-21.43</v>
      </c>
      <c r="F8" s="154">
        <f t="shared" si="2"/>
        <v>-24.001600000000003</v>
      </c>
      <c r="G8" s="154">
        <f t="shared" si="3"/>
        <v>334799.99857142853</v>
      </c>
      <c r="H8" s="131"/>
      <c r="I8" s="131"/>
      <c r="J8" s="131"/>
      <c r="K8" s="283"/>
      <c r="L8" s="154">
        <f t="shared" si="0"/>
        <v>374975.99839999998</v>
      </c>
    </row>
    <row r="9" spans="1:12" s="4" customFormat="1" ht="16.5">
      <c r="A9" s="146">
        <v>16</v>
      </c>
      <c r="B9" s="150" t="s">
        <v>41</v>
      </c>
      <c r="C9" s="181">
        <v>1719642.8571428573</v>
      </c>
      <c r="D9" s="181">
        <f t="shared" si="1"/>
        <v>1926000.0000000002</v>
      </c>
      <c r="E9" s="157">
        <v>28585.71</v>
      </c>
      <c r="F9" s="154">
        <f t="shared" si="2"/>
        <v>32015.995200000001</v>
      </c>
      <c r="G9" s="154">
        <f t="shared" si="3"/>
        <v>1748228.5671428572</v>
      </c>
      <c r="H9" s="131"/>
      <c r="I9" s="131"/>
      <c r="J9" s="131"/>
      <c r="K9" s="283"/>
      <c r="L9" s="154">
        <f t="shared" si="0"/>
        <v>1958015.9952000002</v>
      </c>
    </row>
    <row r="10" spans="1:12" s="4" customFormat="1" ht="31.5">
      <c r="A10" s="146">
        <v>168</v>
      </c>
      <c r="B10" s="150" t="s">
        <v>272</v>
      </c>
      <c r="C10" s="181">
        <v>0</v>
      </c>
      <c r="D10" s="181">
        <f t="shared" si="1"/>
        <v>0</v>
      </c>
      <c r="E10" s="157">
        <v>198200</v>
      </c>
      <c r="F10" s="154">
        <f t="shared" si="2"/>
        <v>221984.00000000003</v>
      </c>
      <c r="G10" s="154">
        <f t="shared" si="3"/>
        <v>198200</v>
      </c>
      <c r="H10" s="131"/>
      <c r="I10" s="131"/>
      <c r="J10" s="131"/>
      <c r="K10" s="283"/>
      <c r="L10" s="154">
        <f t="shared" si="0"/>
        <v>221984.00000000003</v>
      </c>
    </row>
    <row r="11" spans="1:12" s="4" customFormat="1" ht="47.25">
      <c r="A11" s="146">
        <v>17</v>
      </c>
      <c r="B11" s="150" t="s">
        <v>228</v>
      </c>
      <c r="C11" s="181">
        <v>0</v>
      </c>
      <c r="D11" s="181">
        <f t="shared" si="1"/>
        <v>0</v>
      </c>
      <c r="E11" s="157">
        <v>964285.71</v>
      </c>
      <c r="F11" s="154">
        <f t="shared" si="2"/>
        <v>1079999.9952</v>
      </c>
      <c r="G11" s="154">
        <f t="shared" si="3"/>
        <v>964285.71</v>
      </c>
      <c r="H11" s="131"/>
      <c r="I11" s="131"/>
      <c r="J11" s="131"/>
      <c r="K11" s="283"/>
      <c r="L11" s="154">
        <f t="shared" si="0"/>
        <v>1079999.9952</v>
      </c>
    </row>
    <row r="12" spans="1:12" s="4" customFormat="1" ht="48" thickBot="1">
      <c r="A12" s="195">
        <v>18</v>
      </c>
      <c r="B12" s="196" t="s">
        <v>258</v>
      </c>
      <c r="C12" s="183">
        <v>0</v>
      </c>
      <c r="D12" s="183">
        <f t="shared" si="1"/>
        <v>0</v>
      </c>
      <c r="E12" s="153">
        <v>1706786</v>
      </c>
      <c r="F12" s="156">
        <f t="shared" si="2"/>
        <v>1911600.3200000003</v>
      </c>
      <c r="G12" s="156">
        <f t="shared" si="3"/>
        <v>1706786</v>
      </c>
      <c r="H12" s="131"/>
      <c r="I12" s="131"/>
      <c r="J12" s="131"/>
      <c r="K12" s="197"/>
      <c r="L12" s="156">
        <f t="shared" si="0"/>
        <v>1911600.3200000003</v>
      </c>
    </row>
    <row r="13" spans="1:12" s="4" customFormat="1" ht="28.15" customHeight="1" thickBot="1">
      <c r="A13" s="201"/>
      <c r="B13" s="202" t="s">
        <v>344</v>
      </c>
      <c r="C13" s="201">
        <f>SUM(C6:C12)</f>
        <v>14512807.142857142</v>
      </c>
      <c r="D13" s="201">
        <f>SUM(D6:D12)</f>
        <v>16254344</v>
      </c>
      <c r="E13" s="203">
        <f>E6+E7+E8</f>
        <v>-2897878.85</v>
      </c>
      <c r="F13" s="201">
        <f>F6+F7+F8</f>
        <v>-3245624.3119999999</v>
      </c>
      <c r="G13" s="201">
        <f>SUM(G6:G12)</f>
        <v>14512785.712857142</v>
      </c>
      <c r="H13" s="204"/>
      <c r="I13" s="204"/>
      <c r="J13" s="204"/>
      <c r="K13" s="205"/>
      <c r="L13" s="201">
        <f>SUM(L6:L12)</f>
        <v>16254319.998400001</v>
      </c>
    </row>
    <row r="14" spans="1:12" s="5" customFormat="1" ht="28.15" customHeight="1">
      <c r="A14" s="173">
        <v>27</v>
      </c>
      <c r="B14" s="176" t="s">
        <v>143</v>
      </c>
      <c r="C14" s="181">
        <v>69418.080000000002</v>
      </c>
      <c r="D14" s="207">
        <f>C14</f>
        <v>69418.080000000002</v>
      </c>
      <c r="E14" s="185">
        <v>-5204.08</v>
      </c>
      <c r="F14" s="207">
        <f>E14</f>
        <v>-5204.08</v>
      </c>
      <c r="G14" s="187">
        <f t="shared" ref="G14:G39" si="4">C14+E14</f>
        <v>64214</v>
      </c>
      <c r="H14" s="198">
        <v>64214</v>
      </c>
      <c r="I14" s="199">
        <v>64214</v>
      </c>
      <c r="J14" s="199">
        <f>C14-I14+E14</f>
        <v>0</v>
      </c>
      <c r="K14" s="200" t="s">
        <v>20</v>
      </c>
      <c r="L14" s="187">
        <f>G14</f>
        <v>64214</v>
      </c>
    </row>
    <row r="15" spans="1:12" s="5" customFormat="1" ht="37.15" customHeight="1">
      <c r="A15" s="146">
        <v>28</v>
      </c>
      <c r="B15" s="150" t="s">
        <v>195</v>
      </c>
      <c r="C15" s="154">
        <v>159840</v>
      </c>
      <c r="D15" s="181">
        <f t="shared" ref="D15:D27" si="5">C15</f>
        <v>159840</v>
      </c>
      <c r="E15" s="157">
        <v>-10972</v>
      </c>
      <c r="F15" s="181">
        <f t="shared" ref="F15:F27" si="6">E15</f>
        <v>-10972</v>
      </c>
      <c r="G15" s="159">
        <f t="shared" si="4"/>
        <v>148868</v>
      </c>
      <c r="H15" s="99">
        <v>148868</v>
      </c>
      <c r="I15" s="47">
        <v>148868</v>
      </c>
      <c r="J15" s="47">
        <f>C15-I15+E15</f>
        <v>0</v>
      </c>
      <c r="K15" s="27" t="s">
        <v>20</v>
      </c>
      <c r="L15" s="187">
        <f t="shared" ref="L15:L27" si="7">G15</f>
        <v>148868</v>
      </c>
    </row>
    <row r="16" spans="1:12" s="5" customFormat="1" ht="42" customHeight="1">
      <c r="A16" s="146">
        <v>29</v>
      </c>
      <c r="B16" s="150" t="s">
        <v>178</v>
      </c>
      <c r="C16" s="154">
        <v>54743.040000000001</v>
      </c>
      <c r="D16" s="181">
        <f t="shared" si="5"/>
        <v>54743.040000000001</v>
      </c>
      <c r="E16" s="157">
        <v>-159.76</v>
      </c>
      <c r="F16" s="181">
        <f t="shared" si="6"/>
        <v>-159.76</v>
      </c>
      <c r="G16" s="159">
        <f t="shared" si="4"/>
        <v>54583.28</v>
      </c>
      <c r="H16" s="99">
        <v>48796</v>
      </c>
      <c r="I16" s="47">
        <v>48796</v>
      </c>
      <c r="J16" s="47">
        <f>C16-I16+E16</f>
        <v>5787.2800000000007</v>
      </c>
      <c r="K16" s="27" t="s">
        <v>20</v>
      </c>
      <c r="L16" s="187">
        <f t="shared" si="7"/>
        <v>54583.28</v>
      </c>
    </row>
    <row r="17" spans="1:12" s="5" customFormat="1" ht="44.45" customHeight="1">
      <c r="A17" s="174">
        <v>68</v>
      </c>
      <c r="B17" s="151" t="s">
        <v>326</v>
      </c>
      <c r="C17" s="154">
        <v>0</v>
      </c>
      <c r="D17" s="181">
        <f t="shared" si="5"/>
        <v>0</v>
      </c>
      <c r="E17" s="157">
        <v>8000</v>
      </c>
      <c r="F17" s="181">
        <f t="shared" si="6"/>
        <v>8000</v>
      </c>
      <c r="G17" s="160">
        <f>E17</f>
        <v>8000</v>
      </c>
      <c r="H17" s="99"/>
      <c r="I17" s="47"/>
      <c r="J17" s="47"/>
      <c r="K17" s="27"/>
      <c r="L17" s="187">
        <f t="shared" si="7"/>
        <v>8000</v>
      </c>
    </row>
    <row r="18" spans="1:12" s="5" customFormat="1" ht="27.6" customHeight="1">
      <c r="A18" s="174">
        <v>69</v>
      </c>
      <c r="B18" s="151" t="s">
        <v>327</v>
      </c>
      <c r="C18" s="154">
        <v>0</v>
      </c>
      <c r="D18" s="181">
        <f t="shared" si="5"/>
        <v>0</v>
      </c>
      <c r="E18" s="157">
        <v>6600</v>
      </c>
      <c r="F18" s="181">
        <f t="shared" si="6"/>
        <v>6600</v>
      </c>
      <c r="G18" s="160">
        <f>E18</f>
        <v>6600</v>
      </c>
      <c r="H18" s="99"/>
      <c r="I18" s="47"/>
      <c r="J18" s="47"/>
      <c r="K18" s="27"/>
      <c r="L18" s="187">
        <f t="shared" si="7"/>
        <v>6600</v>
      </c>
    </row>
    <row r="19" spans="1:12" s="5" customFormat="1" ht="28.15" customHeight="1" thickBot="1">
      <c r="A19" s="293">
        <v>70</v>
      </c>
      <c r="B19" s="294" t="s">
        <v>328</v>
      </c>
      <c r="C19" s="237">
        <v>0</v>
      </c>
      <c r="D19" s="295">
        <f t="shared" si="5"/>
        <v>0</v>
      </c>
      <c r="E19" s="296">
        <v>1000</v>
      </c>
      <c r="F19" s="295">
        <f t="shared" si="6"/>
        <v>1000</v>
      </c>
      <c r="G19" s="297">
        <f>E19</f>
        <v>1000</v>
      </c>
      <c r="H19" s="298"/>
      <c r="I19" s="299"/>
      <c r="J19" s="299"/>
      <c r="K19" s="300"/>
      <c r="L19" s="301">
        <f t="shared" si="7"/>
        <v>1000</v>
      </c>
    </row>
    <row r="20" spans="1:12" s="5" customFormat="1" ht="28.9" customHeight="1">
      <c r="A20" s="302">
        <v>71</v>
      </c>
      <c r="B20" s="303" t="s">
        <v>329</v>
      </c>
      <c r="C20" s="207">
        <v>0</v>
      </c>
      <c r="D20" s="207">
        <f t="shared" si="5"/>
        <v>0</v>
      </c>
      <c r="E20" s="304">
        <v>735.84</v>
      </c>
      <c r="F20" s="207">
        <f t="shared" si="6"/>
        <v>735.84</v>
      </c>
      <c r="G20" s="305">
        <f>E20</f>
        <v>735.84</v>
      </c>
      <c r="H20" s="306"/>
      <c r="I20" s="307"/>
      <c r="J20" s="307"/>
      <c r="K20" s="308"/>
      <c r="L20" s="309">
        <f t="shared" si="7"/>
        <v>735.84</v>
      </c>
    </row>
    <row r="21" spans="1:12" s="5" customFormat="1" ht="33" customHeight="1">
      <c r="A21" s="146">
        <v>42</v>
      </c>
      <c r="B21" s="150" t="s">
        <v>138</v>
      </c>
      <c r="C21" s="154">
        <v>150000</v>
      </c>
      <c r="D21" s="181">
        <f t="shared" si="5"/>
        <v>150000</v>
      </c>
      <c r="E21" s="157">
        <v>-9000</v>
      </c>
      <c r="F21" s="181">
        <f t="shared" si="6"/>
        <v>-9000</v>
      </c>
      <c r="G21" s="160">
        <f t="shared" si="4"/>
        <v>141000</v>
      </c>
      <c r="H21" s="100">
        <v>141000</v>
      </c>
      <c r="I21" s="26">
        <v>141000</v>
      </c>
      <c r="J21" s="26">
        <f>G21-I21</f>
        <v>0</v>
      </c>
      <c r="K21" s="48" t="s">
        <v>20</v>
      </c>
      <c r="L21" s="187">
        <f t="shared" si="7"/>
        <v>141000</v>
      </c>
    </row>
    <row r="22" spans="1:12" s="5" customFormat="1" ht="37.9" customHeight="1">
      <c r="A22" s="146">
        <v>51</v>
      </c>
      <c r="B22" s="150" t="s">
        <v>217</v>
      </c>
      <c r="C22" s="154">
        <v>50000</v>
      </c>
      <c r="D22" s="181">
        <f t="shared" si="5"/>
        <v>50000</v>
      </c>
      <c r="E22" s="157">
        <v>9500</v>
      </c>
      <c r="F22" s="181">
        <f t="shared" si="6"/>
        <v>9500</v>
      </c>
      <c r="G22" s="160">
        <f>C22+E22</f>
        <v>59500</v>
      </c>
      <c r="H22" s="100"/>
      <c r="I22" s="26"/>
      <c r="J22" s="26"/>
      <c r="K22" s="48"/>
      <c r="L22" s="187">
        <f t="shared" si="7"/>
        <v>59500</v>
      </c>
    </row>
    <row r="23" spans="1:12" s="5" customFormat="1" ht="37.9" customHeight="1">
      <c r="A23" s="146">
        <v>45</v>
      </c>
      <c r="B23" s="150" t="s">
        <v>172</v>
      </c>
      <c r="C23" s="154">
        <v>3500</v>
      </c>
      <c r="D23" s="181">
        <f t="shared" si="5"/>
        <v>3500</v>
      </c>
      <c r="E23" s="157">
        <v>-500</v>
      </c>
      <c r="F23" s="181">
        <f t="shared" si="6"/>
        <v>-500</v>
      </c>
      <c r="G23" s="160">
        <f>C23+E23</f>
        <v>3000</v>
      </c>
      <c r="H23" s="100"/>
      <c r="I23" s="26"/>
      <c r="J23" s="26"/>
      <c r="K23" s="48"/>
      <c r="L23" s="187">
        <f t="shared" si="7"/>
        <v>3000</v>
      </c>
    </row>
    <row r="24" spans="1:12" s="5" customFormat="1" ht="31.9" customHeight="1">
      <c r="A24" s="146">
        <v>43</v>
      </c>
      <c r="B24" s="150" t="s">
        <v>140</v>
      </c>
      <c r="C24" s="154">
        <v>13260</v>
      </c>
      <c r="D24" s="181">
        <f t="shared" si="5"/>
        <v>13260</v>
      </c>
      <c r="E24" s="157">
        <v>-2800</v>
      </c>
      <c r="F24" s="181">
        <f t="shared" si="6"/>
        <v>-2800</v>
      </c>
      <c r="G24" s="160">
        <f t="shared" si="4"/>
        <v>10460</v>
      </c>
      <c r="H24" s="100"/>
      <c r="I24" s="26">
        <v>9588</v>
      </c>
      <c r="J24" s="26">
        <f>G24-I24</f>
        <v>872</v>
      </c>
      <c r="K24" s="48" t="s">
        <v>20</v>
      </c>
      <c r="L24" s="187">
        <f t="shared" si="7"/>
        <v>10460</v>
      </c>
    </row>
    <row r="25" spans="1:12" s="5" customFormat="1" ht="29.45" customHeight="1">
      <c r="A25" s="146">
        <v>66</v>
      </c>
      <c r="B25" s="151" t="s">
        <v>317</v>
      </c>
      <c r="C25" s="154"/>
      <c r="D25" s="181">
        <f t="shared" si="5"/>
        <v>0</v>
      </c>
      <c r="E25" s="157">
        <v>2800</v>
      </c>
      <c r="F25" s="181">
        <f t="shared" si="6"/>
        <v>2800</v>
      </c>
      <c r="G25" s="160">
        <f>E25</f>
        <v>2800</v>
      </c>
      <c r="H25" s="100"/>
      <c r="I25" s="26">
        <v>3000</v>
      </c>
      <c r="J25" s="26">
        <f>G23-I25</f>
        <v>0</v>
      </c>
      <c r="K25" s="48" t="s">
        <v>20</v>
      </c>
      <c r="L25" s="187">
        <f t="shared" si="7"/>
        <v>2800</v>
      </c>
    </row>
    <row r="26" spans="1:12" s="5" customFormat="1" ht="31.9" customHeight="1">
      <c r="A26" s="146">
        <v>50</v>
      </c>
      <c r="B26" s="150" t="s">
        <v>216</v>
      </c>
      <c r="C26" s="154">
        <v>15000</v>
      </c>
      <c r="D26" s="181">
        <f t="shared" si="5"/>
        <v>15000</v>
      </c>
      <c r="E26" s="157">
        <v>900</v>
      </c>
      <c r="F26" s="181">
        <f t="shared" si="6"/>
        <v>900</v>
      </c>
      <c r="G26" s="160">
        <f t="shared" si="4"/>
        <v>15900</v>
      </c>
      <c r="H26" s="100"/>
      <c r="I26" s="26">
        <v>15900</v>
      </c>
      <c r="J26" s="26">
        <f>0</f>
        <v>0</v>
      </c>
      <c r="K26" s="48" t="s">
        <v>20</v>
      </c>
      <c r="L26" s="187">
        <f t="shared" si="7"/>
        <v>15900</v>
      </c>
    </row>
    <row r="27" spans="1:12" s="5" customFormat="1" ht="37.9" customHeight="1" thickBot="1">
      <c r="A27" s="195">
        <v>54</v>
      </c>
      <c r="B27" s="196" t="s">
        <v>237</v>
      </c>
      <c r="C27" s="156">
        <v>7900</v>
      </c>
      <c r="D27" s="183">
        <f t="shared" si="5"/>
        <v>7900</v>
      </c>
      <c r="E27" s="153">
        <v>-900</v>
      </c>
      <c r="F27" s="183">
        <f t="shared" si="6"/>
        <v>-900</v>
      </c>
      <c r="G27" s="188">
        <f t="shared" si="4"/>
        <v>7000</v>
      </c>
      <c r="H27" s="101"/>
      <c r="I27" s="95">
        <v>6500</v>
      </c>
      <c r="J27" s="95">
        <f>G27-I27</f>
        <v>500</v>
      </c>
      <c r="K27" s="208" t="s">
        <v>20</v>
      </c>
      <c r="L27" s="209">
        <f t="shared" si="7"/>
        <v>7000</v>
      </c>
    </row>
    <row r="28" spans="1:12" s="5" customFormat="1" ht="29.45" customHeight="1" thickBot="1">
      <c r="A28" s="201"/>
      <c r="B28" s="202" t="s">
        <v>346</v>
      </c>
      <c r="C28" s="201">
        <f>SUM(C14:C27)</f>
        <v>523661.12</v>
      </c>
      <c r="D28" s="201">
        <f>SUM(D14:D27)</f>
        <v>523661.12</v>
      </c>
      <c r="E28" s="203">
        <f>E14+E15+E16+E21+E23+E24+E27</f>
        <v>-29535.84</v>
      </c>
      <c r="F28" s="201">
        <f>F14+F15+F16+F21+F23+F24+F27</f>
        <v>-29535.84</v>
      </c>
      <c r="G28" s="201">
        <f t="shared" ref="G28:L28" si="8">SUM(G14:G27)</f>
        <v>523661.12000000005</v>
      </c>
      <c r="H28" s="201">
        <f t="shared" si="8"/>
        <v>402878</v>
      </c>
      <c r="I28" s="201">
        <f t="shared" si="8"/>
        <v>437866</v>
      </c>
      <c r="J28" s="201">
        <f t="shared" si="8"/>
        <v>7159.2800000000007</v>
      </c>
      <c r="K28" s="201">
        <f t="shared" si="8"/>
        <v>0</v>
      </c>
      <c r="L28" s="201">
        <f t="shared" si="8"/>
        <v>523661.12000000005</v>
      </c>
    </row>
    <row r="29" spans="1:12" s="5" customFormat="1" ht="30.6" customHeight="1">
      <c r="A29" s="173">
        <v>21</v>
      </c>
      <c r="B29" s="176" t="s">
        <v>47</v>
      </c>
      <c r="C29" s="210">
        <v>897700</v>
      </c>
      <c r="D29" s="219">
        <f>C29</f>
        <v>897700</v>
      </c>
      <c r="E29" s="206">
        <v>62300</v>
      </c>
      <c r="F29" s="220">
        <f>E29</f>
        <v>62300</v>
      </c>
      <c r="G29" s="210">
        <f>C29+E29</f>
        <v>960000</v>
      </c>
      <c r="H29" s="179"/>
      <c r="I29" s="102"/>
      <c r="J29" s="102"/>
      <c r="K29" s="211"/>
      <c r="L29" s="210">
        <f>G29</f>
        <v>960000</v>
      </c>
    </row>
    <row r="30" spans="1:12" s="5" customFormat="1" ht="31.9" customHeight="1" thickBot="1">
      <c r="A30" s="195">
        <v>22</v>
      </c>
      <c r="B30" s="196" t="s">
        <v>48</v>
      </c>
      <c r="C30" s="223">
        <v>233300</v>
      </c>
      <c r="D30" s="222">
        <f>C30</f>
        <v>233300</v>
      </c>
      <c r="E30" s="221">
        <v>-62300</v>
      </c>
      <c r="F30" s="182">
        <f>E30</f>
        <v>-62300</v>
      </c>
      <c r="G30" s="182">
        <f>C30+E30</f>
        <v>171000</v>
      </c>
      <c r="H30" s="100"/>
      <c r="I30" s="26"/>
      <c r="J30" s="26"/>
      <c r="K30" s="143"/>
      <c r="L30" s="210">
        <f>G30</f>
        <v>171000</v>
      </c>
    </row>
    <row r="31" spans="1:12" s="5" customFormat="1" ht="29.45" customHeight="1" thickBot="1">
      <c r="A31" s="201"/>
      <c r="B31" s="224" t="s">
        <v>350</v>
      </c>
      <c r="C31" s="201">
        <f>SUM(C29:C30)</f>
        <v>1131000</v>
      </c>
      <c r="D31" s="201">
        <f>C31</f>
        <v>1131000</v>
      </c>
      <c r="E31" s="201">
        <f>E30</f>
        <v>-62300</v>
      </c>
      <c r="F31" s="186">
        <f>E31</f>
        <v>-62300</v>
      </c>
      <c r="G31" s="175">
        <f>SUM(G29:G30)</f>
        <v>1131000</v>
      </c>
      <c r="H31" s="217"/>
      <c r="I31" s="104"/>
      <c r="J31" s="104"/>
      <c r="K31" s="218"/>
      <c r="L31" s="175">
        <f>G31</f>
        <v>1131000</v>
      </c>
    </row>
    <row r="32" spans="1:12" s="6" customFormat="1" ht="38.450000000000003" customHeight="1">
      <c r="A32" s="173">
        <v>83</v>
      </c>
      <c r="B32" s="176" t="s">
        <v>221</v>
      </c>
      <c r="C32" s="181">
        <v>126240</v>
      </c>
      <c r="D32" s="207">
        <f>C32</f>
        <v>126240</v>
      </c>
      <c r="E32" s="207">
        <v>-2300</v>
      </c>
      <c r="F32" s="185">
        <f>E32</f>
        <v>-2300</v>
      </c>
      <c r="G32" s="212">
        <f t="shared" si="4"/>
        <v>123940</v>
      </c>
      <c r="H32" s="179"/>
      <c r="I32" s="102"/>
      <c r="J32" s="102"/>
      <c r="K32" s="213" t="s">
        <v>20</v>
      </c>
      <c r="L32" s="212">
        <f>G32</f>
        <v>123940</v>
      </c>
    </row>
    <row r="33" spans="1:12" s="6" customFormat="1" ht="27" customHeight="1">
      <c r="A33" s="146">
        <v>84</v>
      </c>
      <c r="B33" s="150" t="s">
        <v>56</v>
      </c>
      <c r="C33" s="154">
        <v>386600</v>
      </c>
      <c r="D33" s="181">
        <f t="shared" ref="D33:D40" si="9">C33</f>
        <v>386600</v>
      </c>
      <c r="E33" s="154">
        <f>-130000</f>
        <v>-130000</v>
      </c>
      <c r="F33" s="185">
        <f t="shared" ref="F33:F40" si="10">E33</f>
        <v>-130000</v>
      </c>
      <c r="G33" s="160">
        <f t="shared" si="4"/>
        <v>256600</v>
      </c>
      <c r="H33" s="100"/>
      <c r="I33" s="26"/>
      <c r="J33" s="26"/>
      <c r="K33" s="27" t="s">
        <v>20</v>
      </c>
      <c r="L33" s="212">
        <f t="shared" ref="L33:L40" si="11">G33</f>
        <v>256600</v>
      </c>
    </row>
    <row r="34" spans="1:12" s="6" customFormat="1" ht="34.9" customHeight="1">
      <c r="A34" s="146">
        <v>85</v>
      </c>
      <c r="B34" s="150" t="s">
        <v>58</v>
      </c>
      <c r="C34" s="154">
        <v>157700</v>
      </c>
      <c r="D34" s="181">
        <f t="shared" si="9"/>
        <v>157700</v>
      </c>
      <c r="E34" s="154">
        <f>2300+130000</f>
        <v>132300</v>
      </c>
      <c r="F34" s="185">
        <f t="shared" si="10"/>
        <v>132300</v>
      </c>
      <c r="G34" s="160">
        <f t="shared" si="4"/>
        <v>290000</v>
      </c>
      <c r="H34" s="100">
        <v>160000</v>
      </c>
      <c r="I34" s="26">
        <v>160000</v>
      </c>
      <c r="J34" s="26">
        <f>G34-I34</f>
        <v>130000</v>
      </c>
      <c r="K34" s="27" t="s">
        <v>20</v>
      </c>
      <c r="L34" s="212">
        <f t="shared" si="11"/>
        <v>290000</v>
      </c>
    </row>
    <row r="35" spans="1:12" s="6" customFormat="1" ht="39.6" customHeight="1">
      <c r="A35" s="146">
        <v>89</v>
      </c>
      <c r="B35" s="150" t="s">
        <v>319</v>
      </c>
      <c r="C35" s="154">
        <v>100000</v>
      </c>
      <c r="D35" s="181">
        <f t="shared" si="9"/>
        <v>100000</v>
      </c>
      <c r="E35" s="154">
        <v>-100000</v>
      </c>
      <c r="F35" s="185">
        <f t="shared" si="10"/>
        <v>-100000</v>
      </c>
      <c r="G35" s="160">
        <f t="shared" si="4"/>
        <v>0</v>
      </c>
      <c r="H35" s="100">
        <v>90000</v>
      </c>
      <c r="I35" s="26">
        <f>H35</f>
        <v>90000</v>
      </c>
      <c r="J35" s="26">
        <f>C35-I35</f>
        <v>10000</v>
      </c>
      <c r="K35" s="87" t="s">
        <v>20</v>
      </c>
      <c r="L35" s="212">
        <f t="shared" si="11"/>
        <v>0</v>
      </c>
    </row>
    <row r="36" spans="1:12" s="6" customFormat="1" ht="16.5">
      <c r="A36" s="146"/>
      <c r="B36" s="150" t="s">
        <v>309</v>
      </c>
      <c r="C36" s="154"/>
      <c r="D36" s="181">
        <f t="shared" si="9"/>
        <v>0</v>
      </c>
      <c r="E36" s="154">
        <v>100000</v>
      </c>
      <c r="F36" s="185">
        <f t="shared" si="10"/>
        <v>100000</v>
      </c>
      <c r="G36" s="160">
        <f t="shared" si="4"/>
        <v>100000</v>
      </c>
      <c r="H36" s="101"/>
      <c r="I36" s="95"/>
      <c r="J36" s="95"/>
      <c r="K36" s="97"/>
      <c r="L36" s="212">
        <f t="shared" si="11"/>
        <v>100000</v>
      </c>
    </row>
    <row r="37" spans="1:12" s="6" customFormat="1" ht="16.5">
      <c r="A37" s="146">
        <v>90</v>
      </c>
      <c r="B37" s="150" t="s">
        <v>63</v>
      </c>
      <c r="C37" s="154">
        <v>260357.14285714284</v>
      </c>
      <c r="D37" s="181">
        <f t="shared" si="9"/>
        <v>260357.14285714284</v>
      </c>
      <c r="E37" s="154">
        <v>-260357.14</v>
      </c>
      <c r="F37" s="185">
        <f t="shared" si="10"/>
        <v>-260357.14</v>
      </c>
      <c r="G37" s="160">
        <f t="shared" si="4"/>
        <v>2.8571428265422583E-3</v>
      </c>
      <c r="H37" s="101"/>
      <c r="I37" s="95"/>
      <c r="J37" s="95"/>
      <c r="K37" s="97"/>
      <c r="L37" s="212">
        <f t="shared" si="11"/>
        <v>2.8571428265422583E-3</v>
      </c>
    </row>
    <row r="38" spans="1:12" s="6" customFormat="1" ht="31.5">
      <c r="A38" s="146">
        <v>91</v>
      </c>
      <c r="B38" s="150" t="s">
        <v>192</v>
      </c>
      <c r="C38" s="154">
        <v>390535.71428571426</v>
      </c>
      <c r="D38" s="181">
        <f t="shared" si="9"/>
        <v>390535.71428571426</v>
      </c>
      <c r="E38" s="154">
        <v>-390535.71</v>
      </c>
      <c r="F38" s="185">
        <f t="shared" si="10"/>
        <v>-390535.71</v>
      </c>
      <c r="G38" s="160">
        <f t="shared" si="4"/>
        <v>4.2857142398133874E-3</v>
      </c>
      <c r="H38" s="101"/>
      <c r="I38" s="95"/>
      <c r="J38" s="95"/>
      <c r="K38" s="97"/>
      <c r="L38" s="212">
        <f t="shared" si="11"/>
        <v>4.2857142398133874E-3</v>
      </c>
    </row>
    <row r="39" spans="1:12" s="6" customFormat="1" ht="17.25" thickBot="1">
      <c r="A39" s="195">
        <v>73</v>
      </c>
      <c r="B39" s="232" t="s">
        <v>336</v>
      </c>
      <c r="C39" s="156"/>
      <c r="D39" s="183">
        <f t="shared" si="9"/>
        <v>0</v>
      </c>
      <c r="E39" s="156">
        <v>650892.85</v>
      </c>
      <c r="F39" s="180">
        <f t="shared" si="10"/>
        <v>650892.85</v>
      </c>
      <c r="G39" s="188">
        <f t="shared" si="4"/>
        <v>650892.85</v>
      </c>
      <c r="H39" s="101"/>
      <c r="I39" s="95"/>
      <c r="J39" s="95"/>
      <c r="K39" s="97"/>
      <c r="L39" s="226">
        <f t="shared" si="11"/>
        <v>650892.85</v>
      </c>
    </row>
    <row r="40" spans="1:12" s="6" customFormat="1" ht="21.6" customHeight="1" thickBot="1">
      <c r="A40" s="201"/>
      <c r="B40" s="224" t="s">
        <v>347</v>
      </c>
      <c r="C40" s="201">
        <f>SUM(C32:C39)</f>
        <v>1421432.857142857</v>
      </c>
      <c r="D40" s="201">
        <f t="shared" si="9"/>
        <v>1421432.857142857</v>
      </c>
      <c r="E40" s="201">
        <f>E32+E33+E35+E37+E38</f>
        <v>-883192.85000000009</v>
      </c>
      <c r="F40" s="201">
        <f t="shared" si="10"/>
        <v>-883192.85000000009</v>
      </c>
      <c r="G40" s="201">
        <f>SUM(G32:G39)</f>
        <v>1421432.857142857</v>
      </c>
      <c r="H40" s="229"/>
      <c r="I40" s="230"/>
      <c r="J40" s="230"/>
      <c r="K40" s="231"/>
      <c r="L40" s="201">
        <f t="shared" si="11"/>
        <v>1421432.857142857</v>
      </c>
    </row>
    <row r="41" spans="1:12" s="6" customFormat="1" ht="33.6" customHeight="1">
      <c r="A41" s="302">
        <v>1</v>
      </c>
      <c r="B41" s="303" t="s">
        <v>16</v>
      </c>
      <c r="C41" s="207">
        <v>75000</v>
      </c>
      <c r="D41" s="207">
        <f>C41</f>
        <v>75000</v>
      </c>
      <c r="E41" s="207">
        <v>55000</v>
      </c>
      <c r="F41" s="304">
        <f>E41</f>
        <v>55000</v>
      </c>
      <c r="G41" s="305">
        <f>C41+E41</f>
        <v>130000</v>
      </c>
      <c r="H41" s="310"/>
      <c r="I41" s="311"/>
      <c r="J41" s="311"/>
      <c r="K41" s="312"/>
      <c r="L41" s="305">
        <f>G41</f>
        <v>130000</v>
      </c>
    </row>
    <row r="42" spans="1:12" s="6" customFormat="1" ht="32.25" thickBot="1">
      <c r="A42" s="148">
        <v>2</v>
      </c>
      <c r="B42" s="178" t="s">
        <v>21</v>
      </c>
      <c r="C42" s="156">
        <v>6846000</v>
      </c>
      <c r="D42" s="183">
        <f>C42</f>
        <v>6846000</v>
      </c>
      <c r="E42" s="156">
        <v>-55000</v>
      </c>
      <c r="F42" s="237">
        <f>E42</f>
        <v>-55000</v>
      </c>
      <c r="G42" s="188">
        <f>C42+E42</f>
        <v>6791000</v>
      </c>
      <c r="H42" s="101"/>
      <c r="I42" s="95"/>
      <c r="J42" s="95"/>
      <c r="K42" s="97"/>
      <c r="L42" s="188">
        <f>G42</f>
        <v>6791000</v>
      </c>
    </row>
    <row r="43" spans="1:12" s="6" customFormat="1" ht="21.6" customHeight="1" thickBot="1">
      <c r="A43" s="201"/>
      <c r="B43" s="202" t="s">
        <v>348</v>
      </c>
      <c r="C43" s="201">
        <f>SUM(C41:C42)</f>
        <v>6921000</v>
      </c>
      <c r="D43" s="201">
        <f>C43</f>
        <v>6921000</v>
      </c>
      <c r="E43" s="201">
        <f>E42</f>
        <v>-55000</v>
      </c>
      <c r="F43" s="201">
        <f>E43</f>
        <v>-55000</v>
      </c>
      <c r="G43" s="201">
        <f>SUM(G41:G42)</f>
        <v>6921000</v>
      </c>
      <c r="H43" s="229"/>
      <c r="I43" s="230"/>
      <c r="J43" s="230"/>
      <c r="K43" s="231"/>
      <c r="L43" s="201">
        <f>G43</f>
        <v>6921000</v>
      </c>
    </row>
    <row r="44" spans="1:12" s="6" customFormat="1" ht="30.6" customHeight="1">
      <c r="A44" s="227">
        <v>37</v>
      </c>
      <c r="B44" s="177" t="s">
        <v>101</v>
      </c>
      <c r="C44" s="183">
        <v>441295.7142857142</v>
      </c>
      <c r="D44" s="269">
        <f>C44*1.12</f>
        <v>494251.19999999995</v>
      </c>
      <c r="E44" s="225">
        <v>-441295.71</v>
      </c>
      <c r="F44" s="207">
        <f>E44*1.12</f>
        <v>-494251.19520000007</v>
      </c>
      <c r="G44" s="226">
        <f>C44+E44</f>
        <v>4.2857141816057265E-3</v>
      </c>
      <c r="H44" s="228"/>
      <c r="I44" s="96"/>
      <c r="J44" s="96"/>
      <c r="K44" s="234"/>
      <c r="L44" s="235">
        <f>G44*1.12</f>
        <v>4.7999998833984144E-3</v>
      </c>
    </row>
    <row r="45" spans="1:12" s="6" customFormat="1" ht="30.6" customHeight="1">
      <c r="A45" s="148">
        <v>38</v>
      </c>
      <c r="B45" s="178" t="s">
        <v>102</v>
      </c>
      <c r="C45" s="156">
        <v>2700000</v>
      </c>
      <c r="D45" s="270">
        <f t="shared" ref="D45:D57" si="12">C45*1.12</f>
        <v>3024000.0000000005</v>
      </c>
      <c r="E45" s="156">
        <v>378000</v>
      </c>
      <c r="F45" s="154">
        <f t="shared" ref="F45:F57" si="13">E45*1.12</f>
        <v>423360.00000000006</v>
      </c>
      <c r="G45" s="188">
        <f t="shared" ref="G45:G56" si="14">C45+E45</f>
        <v>3078000</v>
      </c>
      <c r="H45" s="101"/>
      <c r="I45" s="95"/>
      <c r="J45" s="95"/>
      <c r="K45" s="233"/>
      <c r="L45" s="160">
        <f>G45*1.12</f>
        <v>3447360.0000000005</v>
      </c>
    </row>
    <row r="46" spans="1:12" s="6" customFormat="1" ht="30.6" customHeight="1">
      <c r="A46" s="148">
        <v>40</v>
      </c>
      <c r="B46" s="178" t="s">
        <v>104</v>
      </c>
      <c r="C46" s="156">
        <v>387199.28571428568</v>
      </c>
      <c r="D46" s="270">
        <f t="shared" si="12"/>
        <v>433663.2</v>
      </c>
      <c r="E46" s="156">
        <v>-387199.29</v>
      </c>
      <c r="F46" s="154">
        <f t="shared" si="13"/>
        <v>-433663.20480000001</v>
      </c>
      <c r="G46" s="188">
        <f t="shared" si="14"/>
        <v>-4.2857142980210483E-3</v>
      </c>
      <c r="H46" s="101"/>
      <c r="I46" s="95"/>
      <c r="J46" s="95"/>
      <c r="K46" s="233"/>
      <c r="L46" s="160">
        <f t="shared" ref="L46:L57" si="15">G46*1.12</f>
        <v>-4.8000000137835746E-3</v>
      </c>
    </row>
    <row r="47" spans="1:12" s="6" customFormat="1" ht="30.6" customHeight="1">
      <c r="A47" s="148">
        <v>42</v>
      </c>
      <c r="B47" s="178" t="s">
        <v>106</v>
      </c>
      <c r="C47" s="156">
        <v>848002.5</v>
      </c>
      <c r="D47" s="154">
        <f t="shared" si="12"/>
        <v>949762.8</v>
      </c>
      <c r="E47" s="156">
        <v>-848002.5</v>
      </c>
      <c r="F47" s="154">
        <f t="shared" si="13"/>
        <v>-949762.8</v>
      </c>
      <c r="G47" s="188">
        <f t="shared" si="14"/>
        <v>0</v>
      </c>
      <c r="H47" s="101"/>
      <c r="I47" s="95"/>
      <c r="J47" s="95"/>
      <c r="K47" s="233"/>
      <c r="L47" s="160">
        <f t="shared" si="15"/>
        <v>0</v>
      </c>
    </row>
    <row r="48" spans="1:12" s="6" customFormat="1" ht="30.6" customHeight="1">
      <c r="A48" s="148">
        <v>43</v>
      </c>
      <c r="B48" s="178" t="s">
        <v>107</v>
      </c>
      <c r="C48" s="156">
        <v>1349999.9999999998</v>
      </c>
      <c r="D48" s="154">
        <f t="shared" si="12"/>
        <v>1511999.9999999998</v>
      </c>
      <c r="E48" s="156">
        <v>189000</v>
      </c>
      <c r="F48" s="154">
        <f t="shared" si="13"/>
        <v>211680.00000000003</v>
      </c>
      <c r="G48" s="188">
        <f t="shared" si="14"/>
        <v>1538999.9999999998</v>
      </c>
      <c r="H48" s="101"/>
      <c r="I48" s="95"/>
      <c r="J48" s="95"/>
      <c r="K48" s="233"/>
      <c r="L48" s="160">
        <f t="shared" si="15"/>
        <v>1723680</v>
      </c>
    </row>
    <row r="49" spans="1:14" s="6" customFormat="1" ht="30.6" customHeight="1">
      <c r="A49" s="148">
        <v>44</v>
      </c>
      <c r="B49" s="178" t="s">
        <v>108</v>
      </c>
      <c r="C49" s="156">
        <v>6364285.7142857146</v>
      </c>
      <c r="D49" s="154">
        <f t="shared" si="12"/>
        <v>7128000.0000000009</v>
      </c>
      <c r="E49" s="156">
        <v>891000</v>
      </c>
      <c r="F49" s="154">
        <f t="shared" si="13"/>
        <v>997920.00000000012</v>
      </c>
      <c r="G49" s="188">
        <f t="shared" si="14"/>
        <v>7255285.7142857146</v>
      </c>
      <c r="H49" s="101"/>
      <c r="I49" s="95"/>
      <c r="J49" s="95"/>
      <c r="K49" s="233"/>
      <c r="L49" s="160">
        <f t="shared" si="15"/>
        <v>8125920.0000000009</v>
      </c>
    </row>
    <row r="50" spans="1:14" s="6" customFormat="1" ht="30.6" customHeight="1">
      <c r="A50" s="148">
        <v>45</v>
      </c>
      <c r="B50" s="178" t="s">
        <v>109</v>
      </c>
      <c r="C50" s="156">
        <v>337500</v>
      </c>
      <c r="D50" s="154">
        <f t="shared" si="12"/>
        <v>378000.00000000006</v>
      </c>
      <c r="E50" s="156">
        <v>33750</v>
      </c>
      <c r="F50" s="154">
        <f t="shared" si="13"/>
        <v>37800</v>
      </c>
      <c r="G50" s="188">
        <f t="shared" si="14"/>
        <v>371250</v>
      </c>
      <c r="H50" s="101"/>
      <c r="I50" s="95"/>
      <c r="J50" s="95"/>
      <c r="K50" s="233"/>
      <c r="L50" s="160">
        <f t="shared" si="15"/>
        <v>415800.00000000006</v>
      </c>
    </row>
    <row r="51" spans="1:14" s="6" customFormat="1" ht="30.6" customHeight="1">
      <c r="A51" s="148">
        <v>46</v>
      </c>
      <c r="B51" s="178" t="s">
        <v>110</v>
      </c>
      <c r="C51" s="156">
        <v>72899.999999999985</v>
      </c>
      <c r="D51" s="154">
        <f t="shared" si="12"/>
        <v>81647.999999999985</v>
      </c>
      <c r="E51" s="156">
        <v>2916</v>
      </c>
      <c r="F51" s="154">
        <f t="shared" si="13"/>
        <v>3265.9200000000005</v>
      </c>
      <c r="G51" s="188">
        <f t="shared" si="14"/>
        <v>75815.999999999985</v>
      </c>
      <c r="H51" s="101"/>
      <c r="I51" s="95"/>
      <c r="J51" s="95"/>
      <c r="K51" s="233"/>
      <c r="L51" s="160">
        <f t="shared" si="15"/>
        <v>84913.919999999998</v>
      </c>
    </row>
    <row r="52" spans="1:14" s="6" customFormat="1" ht="30.6" customHeight="1">
      <c r="A52" s="148">
        <v>47</v>
      </c>
      <c r="B52" s="178" t="s">
        <v>111</v>
      </c>
      <c r="C52" s="156">
        <v>188517.85714285713</v>
      </c>
      <c r="D52" s="154">
        <f t="shared" si="12"/>
        <v>211140</v>
      </c>
      <c r="E52" s="156">
        <v>7540.72</v>
      </c>
      <c r="F52" s="154">
        <f t="shared" si="13"/>
        <v>8445.6064000000006</v>
      </c>
      <c r="G52" s="188">
        <f t="shared" si="14"/>
        <v>196058.57714285713</v>
      </c>
      <c r="H52" s="101"/>
      <c r="I52" s="95"/>
      <c r="J52" s="95"/>
      <c r="K52" s="233"/>
      <c r="L52" s="160">
        <f t="shared" si="15"/>
        <v>219585.60640000002</v>
      </c>
    </row>
    <row r="53" spans="1:14" s="6" customFormat="1" ht="30.6" customHeight="1">
      <c r="A53" s="148">
        <v>49</v>
      </c>
      <c r="B53" s="178" t="s">
        <v>304</v>
      </c>
      <c r="C53" s="156">
        <v>596700</v>
      </c>
      <c r="D53" s="154">
        <f t="shared" si="12"/>
        <v>668304.00000000012</v>
      </c>
      <c r="E53" s="156">
        <v>333.64</v>
      </c>
      <c r="F53" s="154">
        <f t="shared" si="13"/>
        <v>373.67680000000001</v>
      </c>
      <c r="G53" s="188">
        <f t="shared" si="14"/>
        <v>597033.64</v>
      </c>
      <c r="H53" s="101"/>
      <c r="I53" s="95"/>
      <c r="J53" s="95"/>
      <c r="K53" s="233"/>
      <c r="L53" s="160">
        <f t="shared" si="15"/>
        <v>668677.67680000013</v>
      </c>
    </row>
    <row r="54" spans="1:14" s="6" customFormat="1" ht="30.6" customHeight="1">
      <c r="A54" s="148">
        <v>50</v>
      </c>
      <c r="B54" s="178" t="s">
        <v>113</v>
      </c>
      <c r="C54" s="156">
        <v>2266071.4285714282</v>
      </c>
      <c r="D54" s="154">
        <f t="shared" si="12"/>
        <v>2538000</v>
      </c>
      <c r="E54" s="156">
        <v>-0.13</v>
      </c>
      <c r="F54" s="154">
        <f t="shared" si="13"/>
        <v>-0.14560000000000001</v>
      </c>
      <c r="G54" s="188">
        <f t="shared" si="14"/>
        <v>2266071.2985714283</v>
      </c>
      <c r="H54" s="101"/>
      <c r="I54" s="95"/>
      <c r="J54" s="95"/>
      <c r="K54" s="233"/>
      <c r="L54" s="160">
        <f t="shared" si="15"/>
        <v>2537999.8544000001</v>
      </c>
    </row>
    <row r="55" spans="1:14" s="6" customFormat="1" ht="30.6" customHeight="1">
      <c r="A55" s="148">
        <v>51</v>
      </c>
      <c r="B55" s="178" t="s">
        <v>114</v>
      </c>
      <c r="C55" s="156">
        <v>963321.42857142852</v>
      </c>
      <c r="D55" s="154">
        <f t="shared" si="12"/>
        <v>1078920</v>
      </c>
      <c r="E55" s="156">
        <v>96332.14</v>
      </c>
      <c r="F55" s="154">
        <f t="shared" si="13"/>
        <v>107891.99680000001</v>
      </c>
      <c r="G55" s="188">
        <f t="shared" si="14"/>
        <v>1059653.5685714285</v>
      </c>
      <c r="H55" s="101"/>
      <c r="I55" s="95"/>
      <c r="J55" s="95"/>
      <c r="K55" s="233"/>
      <c r="L55" s="160">
        <f t="shared" si="15"/>
        <v>1186811.9968000001</v>
      </c>
    </row>
    <row r="56" spans="1:14" s="6" customFormat="1" ht="30.6" customHeight="1" thickBot="1">
      <c r="A56" s="148">
        <v>52</v>
      </c>
      <c r="B56" s="178" t="s">
        <v>115</v>
      </c>
      <c r="C56" s="156">
        <v>776250</v>
      </c>
      <c r="D56" s="183">
        <f t="shared" si="12"/>
        <v>869400.00000000012</v>
      </c>
      <c r="E56" s="156">
        <v>77625</v>
      </c>
      <c r="F56" s="154">
        <f t="shared" si="13"/>
        <v>86940.000000000015</v>
      </c>
      <c r="G56" s="188">
        <f t="shared" si="14"/>
        <v>853875</v>
      </c>
      <c r="H56" s="101"/>
      <c r="I56" s="95"/>
      <c r="J56" s="95"/>
      <c r="K56" s="233"/>
      <c r="L56" s="160">
        <f t="shared" si="15"/>
        <v>956340.00000000012</v>
      </c>
    </row>
    <row r="57" spans="1:14" s="6" customFormat="1" ht="30.6" customHeight="1" thickBot="1">
      <c r="A57" s="201"/>
      <c r="B57" s="202" t="s">
        <v>349</v>
      </c>
      <c r="C57" s="201">
        <f>SUM(C44:C56)</f>
        <v>17292043.928571429</v>
      </c>
      <c r="D57" s="201">
        <f t="shared" si="12"/>
        <v>19367089.200000003</v>
      </c>
      <c r="E57" s="201">
        <f>E44+E46+E47+E54</f>
        <v>-1676497.63</v>
      </c>
      <c r="F57" s="201">
        <f t="shared" si="13"/>
        <v>-1877677.3456000001</v>
      </c>
      <c r="G57" s="201">
        <f>SUM(G44:G56)</f>
        <v>17292043.79857143</v>
      </c>
      <c r="H57" s="101"/>
      <c r="I57" s="95"/>
      <c r="J57" s="95"/>
      <c r="K57" s="233"/>
      <c r="L57" s="201">
        <f t="shared" si="15"/>
        <v>19367089.054400004</v>
      </c>
      <c r="M57" s="106">
        <f>E57+L57</f>
        <v>17690591.424400005</v>
      </c>
      <c r="N57" s="106"/>
    </row>
    <row r="58" spans="1:14" s="6" customFormat="1" ht="41.45" customHeight="1" thickBot="1">
      <c r="A58" s="149"/>
      <c r="B58" s="190" t="s">
        <v>351</v>
      </c>
      <c r="C58" s="184"/>
      <c r="D58" s="194"/>
      <c r="E58" s="236">
        <f>E13+E28+E31+E40+E43+E57</f>
        <v>-5604405.1699999999</v>
      </c>
      <c r="F58" s="191">
        <f>F13+F28+F31+F40+F43+F57</f>
        <v>-6153330.3476</v>
      </c>
      <c r="G58" s="189"/>
      <c r="H58" s="217"/>
      <c r="I58" s="104"/>
      <c r="J58" s="104"/>
      <c r="K58" s="313"/>
      <c r="L58" s="189"/>
    </row>
    <row r="59" spans="1:14" ht="18.75">
      <c r="A59" s="85"/>
      <c r="B59" s="85"/>
      <c r="C59" s="85"/>
      <c r="D59" s="85"/>
      <c r="E59" s="78"/>
      <c r="F59" s="78"/>
      <c r="G59" s="85"/>
      <c r="H59" s="78"/>
      <c r="I59" s="78"/>
      <c r="J59" s="78"/>
      <c r="K59" s="84"/>
    </row>
    <row r="60" spans="1:14" ht="18.75">
      <c r="A60" s="85"/>
      <c r="B60" s="437"/>
      <c r="C60" s="437"/>
      <c r="D60" s="437"/>
      <c r="E60" s="438"/>
      <c r="F60" s="438"/>
      <c r="G60" s="437"/>
      <c r="H60" s="438"/>
      <c r="I60" s="438"/>
      <c r="J60" s="438"/>
      <c r="K60" s="84"/>
    </row>
    <row r="61" spans="1:14" ht="18.75">
      <c r="A61" s="85"/>
      <c r="B61" s="80"/>
      <c r="C61" s="80"/>
      <c r="D61" s="80"/>
      <c r="E61" s="80"/>
      <c r="F61" s="80"/>
      <c r="G61" s="80"/>
      <c r="H61" s="80"/>
      <c r="I61" s="80"/>
      <c r="J61" s="80"/>
      <c r="K61" s="84"/>
    </row>
    <row r="62" spans="1:14" ht="18.75">
      <c r="A62" s="85"/>
      <c r="B62" s="80"/>
      <c r="C62" s="80"/>
      <c r="D62" s="80"/>
      <c r="E62" s="80"/>
      <c r="F62" s="80"/>
      <c r="G62" s="80"/>
      <c r="H62" s="80"/>
      <c r="I62" s="80"/>
      <c r="J62" s="80"/>
      <c r="K62" s="78"/>
    </row>
    <row r="63" spans="1:14" ht="18.75">
      <c r="A63" s="85"/>
      <c r="B63" s="80"/>
      <c r="C63" s="80"/>
      <c r="D63" s="80"/>
      <c r="E63" s="80"/>
      <c r="F63" s="80"/>
      <c r="G63" s="80"/>
      <c r="H63" s="80"/>
      <c r="I63" s="80"/>
      <c r="J63" s="80"/>
      <c r="K63" s="78"/>
    </row>
    <row r="64" spans="1:14" ht="18.75">
      <c r="A64" s="85"/>
      <c r="B64" s="80"/>
      <c r="C64" s="80"/>
      <c r="D64" s="80"/>
      <c r="E64" s="80"/>
      <c r="F64" s="80"/>
      <c r="G64" s="80"/>
      <c r="H64" s="80"/>
      <c r="I64" s="80"/>
      <c r="J64" s="80"/>
      <c r="K64" s="78"/>
    </row>
    <row r="65" spans="1:11" ht="18.75">
      <c r="A65" s="85"/>
      <c r="B65" s="80"/>
      <c r="C65" s="80"/>
      <c r="D65" s="80"/>
      <c r="E65" s="80"/>
      <c r="F65" s="80"/>
      <c r="G65" s="80"/>
      <c r="H65" s="80"/>
      <c r="I65" s="80"/>
      <c r="J65" s="80"/>
      <c r="K65" s="78"/>
    </row>
    <row r="66" spans="1:11" ht="18.75">
      <c r="A66" s="85"/>
      <c r="B66" s="80"/>
      <c r="C66" s="80"/>
      <c r="D66" s="80"/>
      <c r="E66" s="80"/>
      <c r="F66" s="80"/>
      <c r="G66" s="80"/>
      <c r="H66" s="80"/>
      <c r="I66" s="80"/>
      <c r="J66" s="80"/>
      <c r="K66" s="78"/>
    </row>
    <row r="67" spans="1:11" ht="18.75">
      <c r="A67" s="85"/>
      <c r="B67" s="80"/>
      <c r="C67" s="80"/>
      <c r="D67" s="80"/>
      <c r="E67" s="80"/>
      <c r="F67" s="80"/>
      <c r="G67" s="80"/>
      <c r="H67" s="80"/>
      <c r="I67" s="80"/>
      <c r="J67" s="80"/>
      <c r="K67" s="78"/>
    </row>
    <row r="68" spans="1:11" ht="18.75">
      <c r="A68" s="85"/>
      <c r="B68" s="80"/>
      <c r="C68" s="80"/>
      <c r="D68" s="80"/>
      <c r="E68" s="80"/>
      <c r="F68" s="80"/>
      <c r="G68" s="80"/>
      <c r="H68" s="80"/>
      <c r="I68" s="80"/>
      <c r="J68" s="80"/>
      <c r="K68" s="78"/>
    </row>
    <row r="69" spans="1:11" ht="18.75">
      <c r="A69" s="85"/>
      <c r="B69" s="80"/>
      <c r="C69" s="80"/>
      <c r="D69" s="80"/>
      <c r="E69" s="80"/>
      <c r="F69" s="80"/>
      <c r="G69" s="80"/>
      <c r="H69" s="80"/>
      <c r="I69" s="80"/>
      <c r="J69" s="80"/>
      <c r="K69" s="78"/>
    </row>
    <row r="70" spans="1:11" ht="18.75">
      <c r="A70" s="86"/>
      <c r="B70" s="86"/>
      <c r="C70" s="86"/>
      <c r="D70" s="86"/>
      <c r="G70" s="86"/>
    </row>
  </sheetData>
  <mergeCells count="14">
    <mergeCell ref="B60:J60"/>
    <mergeCell ref="A3:A5"/>
    <mergeCell ref="B3:B5"/>
    <mergeCell ref="C3:C5"/>
    <mergeCell ref="G3:G5"/>
    <mergeCell ref="A2:L2"/>
    <mergeCell ref="F3:F5"/>
    <mergeCell ref="D3:D5"/>
    <mergeCell ref="L3:L5"/>
    <mergeCell ref="E3:E5"/>
    <mergeCell ref="H4:H5"/>
    <mergeCell ref="I4:I5"/>
    <mergeCell ref="J4:J5"/>
    <mergeCell ref="K4:K5"/>
  </mergeCells>
  <dataValidations xWindow="1275" yWindow="530" count="6">
    <dataValidation allowBlank="1" showInputMessage="1" showErrorMessage="1" prompt="Единица измерения заполняется автоматически в соответствии с КТРУ" sqref="B17:B20 B25 B41:B42 B44:B56 B58"/>
    <dataValidation type="decimal" operator="greaterThan" allowBlank="1" showInputMessage="1" showErrorMessage="1" prompt="Введите утвержденную сумму на первый год трехлетнего периода" sqref="G27:H27 H29:H31">
      <formula1>0</formula1>
    </dataValidation>
    <dataValidation type="decimal" operator="greaterThan" allowBlank="1" showInputMessage="1" showErrorMessage="1" prompt="Введите прогнозируемую сумму на третий год" sqref="J27 J29:J31">
      <formula1>0</formula1>
    </dataValidation>
    <dataValidation type="list" allowBlank="1" showInputMessage="1" showErrorMessage="1" sqref="K21:K27 K29:K31">
      <formula1>КАТО</formula1>
    </dataValidation>
    <dataValidation allowBlank="1" showInputMessage="1" showErrorMessage="1" prompt="Введите дополнительную характеристику на государственном языке" sqref="B27"/>
    <dataValidation allowBlank="1" showInputMessage="1" showErrorMessage="1" prompt="Наименование на государственном языке заполняется автоматически в соответствии с КТРУ" sqref="B14:B16 B26 B22:B23"/>
  </dataValidations>
  <pageMargins left="0.70866141732283472" right="0.31496062992125984" top="0.59055118110236227" bottom="0.35433070866141736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35"/>
  <sheetViews>
    <sheetView topLeftCell="A7" workbookViewId="0">
      <selection activeCell="B24" sqref="B24"/>
    </sheetView>
  </sheetViews>
  <sheetFormatPr defaultRowHeight="15"/>
  <cols>
    <col min="1" max="1" width="6" customWidth="1"/>
    <col min="2" max="2" width="36" customWidth="1"/>
    <col min="3" max="3" width="24.42578125" customWidth="1"/>
    <col min="4" max="4" width="15" customWidth="1"/>
    <col min="5" max="5" width="20.42578125" customWidth="1"/>
    <col min="6" max="6" width="15" hidden="1" customWidth="1"/>
    <col min="7" max="7" width="17.28515625" hidden="1" customWidth="1"/>
    <col min="8" max="8" width="14" hidden="1" customWidth="1"/>
    <col min="9" max="9" width="18.5703125" hidden="1" customWidth="1"/>
    <col min="10" max="10" width="0.140625" customWidth="1"/>
    <col min="13" max="14" width="9.7109375" bestFit="1" customWidth="1"/>
  </cols>
  <sheetData>
    <row r="2" spans="1:11" ht="36.6" customHeight="1" thickBot="1">
      <c r="A2" s="425" t="s">
        <v>353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23.45" customHeight="1" thickBot="1">
      <c r="A3" s="427" t="s">
        <v>352</v>
      </c>
      <c r="B3" s="430" t="s">
        <v>330</v>
      </c>
      <c r="C3" s="427" t="s">
        <v>7</v>
      </c>
      <c r="D3" s="430" t="s">
        <v>331</v>
      </c>
      <c r="E3" s="427" t="s">
        <v>280</v>
      </c>
      <c r="F3" s="1"/>
      <c r="G3" s="2"/>
      <c r="H3" s="2"/>
      <c r="I3" s="3"/>
      <c r="J3" s="2"/>
    </row>
    <row r="4" spans="1:11" s="4" customFormat="1" ht="12" customHeight="1">
      <c r="A4" s="428"/>
      <c r="B4" s="431"/>
      <c r="C4" s="428"/>
      <c r="D4" s="431" t="s">
        <v>278</v>
      </c>
      <c r="E4" s="428"/>
      <c r="F4" s="433" t="s">
        <v>316</v>
      </c>
      <c r="G4" s="418" t="s">
        <v>281</v>
      </c>
      <c r="H4" s="418" t="s">
        <v>269</v>
      </c>
      <c r="I4" s="435" t="s">
        <v>11</v>
      </c>
      <c r="J4" s="439" t="s">
        <v>12</v>
      </c>
    </row>
    <row r="5" spans="1:11" s="4" customFormat="1" ht="48" customHeight="1" thickBot="1">
      <c r="A5" s="429"/>
      <c r="B5" s="432"/>
      <c r="C5" s="429"/>
      <c r="D5" s="432"/>
      <c r="E5" s="429"/>
      <c r="F5" s="434"/>
      <c r="G5" s="419"/>
      <c r="H5" s="419"/>
      <c r="I5" s="436"/>
      <c r="J5" s="440"/>
    </row>
    <row r="6" spans="1:11" s="5" customFormat="1" ht="22.9" customHeight="1">
      <c r="A6" s="146">
        <v>29</v>
      </c>
      <c r="B6" s="150" t="s">
        <v>178</v>
      </c>
      <c r="C6" s="154">
        <v>54583.28</v>
      </c>
      <c r="D6" s="157">
        <v>-5787.28</v>
      </c>
      <c r="E6" s="159">
        <f t="shared" ref="E6:E13" si="0">C6+D6</f>
        <v>48796</v>
      </c>
      <c r="F6" s="99">
        <v>48796</v>
      </c>
      <c r="G6" s="47">
        <v>48796</v>
      </c>
      <c r="H6" s="47">
        <f t="shared" ref="H6:H13" si="1">C6-G6+D6</f>
        <v>0</v>
      </c>
      <c r="I6" s="27" t="s">
        <v>20</v>
      </c>
      <c r="J6" s="28">
        <v>5</v>
      </c>
      <c r="K6" s="9"/>
    </row>
    <row r="7" spans="1:11" s="5" customFormat="1" ht="31.5">
      <c r="A7" s="146">
        <v>30</v>
      </c>
      <c r="B7" s="150" t="s">
        <v>179</v>
      </c>
      <c r="C7" s="154">
        <v>75129.119999999995</v>
      </c>
      <c r="D7" s="157">
        <v>-9435.1200000000008</v>
      </c>
      <c r="E7" s="159">
        <f t="shared" si="0"/>
        <v>65694</v>
      </c>
      <c r="F7" s="99">
        <v>65694</v>
      </c>
      <c r="G7" s="47">
        <v>65694</v>
      </c>
      <c r="H7" s="47">
        <f t="shared" si="1"/>
        <v>0</v>
      </c>
      <c r="I7" s="27" t="s">
        <v>20</v>
      </c>
      <c r="J7" s="28">
        <v>5</v>
      </c>
      <c r="K7" s="9"/>
    </row>
    <row r="8" spans="1:11" s="5" customFormat="1" ht="31.5">
      <c r="A8" s="146">
        <v>31</v>
      </c>
      <c r="B8" s="150" t="s">
        <v>174</v>
      </c>
      <c r="C8" s="154">
        <v>110484</v>
      </c>
      <c r="D8" s="157">
        <v>-11440</v>
      </c>
      <c r="E8" s="159">
        <f t="shared" si="0"/>
        <v>99044</v>
      </c>
      <c r="F8" s="99">
        <v>99044</v>
      </c>
      <c r="G8" s="47">
        <v>99044</v>
      </c>
      <c r="H8" s="47">
        <f t="shared" si="1"/>
        <v>0</v>
      </c>
      <c r="I8" s="27" t="s">
        <v>20</v>
      </c>
      <c r="J8" s="28">
        <v>5</v>
      </c>
      <c r="K8" s="9"/>
    </row>
    <row r="9" spans="1:11" s="5" customFormat="1" ht="31.5">
      <c r="A9" s="146">
        <v>32</v>
      </c>
      <c r="B9" s="150" t="s">
        <v>175</v>
      </c>
      <c r="C9" s="154">
        <v>110484</v>
      </c>
      <c r="D9" s="157">
        <v>-11440</v>
      </c>
      <c r="E9" s="159">
        <f t="shared" si="0"/>
        <v>99044</v>
      </c>
      <c r="F9" s="99">
        <v>99044</v>
      </c>
      <c r="G9" s="47">
        <v>99044</v>
      </c>
      <c r="H9" s="47">
        <f t="shared" si="1"/>
        <v>0</v>
      </c>
      <c r="I9" s="27" t="s">
        <v>20</v>
      </c>
      <c r="J9" s="28">
        <v>5</v>
      </c>
      <c r="K9" s="9"/>
    </row>
    <row r="10" spans="1:11" s="5" customFormat="1" ht="31.5">
      <c r="A10" s="146">
        <v>33</v>
      </c>
      <c r="B10" s="150" t="s">
        <v>176</v>
      </c>
      <c r="C10" s="154">
        <v>110484</v>
      </c>
      <c r="D10" s="157">
        <v>-11440</v>
      </c>
      <c r="E10" s="159">
        <f t="shared" si="0"/>
        <v>99044</v>
      </c>
      <c r="F10" s="99">
        <v>99044</v>
      </c>
      <c r="G10" s="47">
        <v>99044</v>
      </c>
      <c r="H10" s="47">
        <f t="shared" si="1"/>
        <v>0</v>
      </c>
      <c r="I10" s="27" t="s">
        <v>20</v>
      </c>
      <c r="J10" s="28">
        <v>5</v>
      </c>
      <c r="K10" s="9"/>
    </row>
    <row r="11" spans="1:11" s="5" customFormat="1" ht="31.5">
      <c r="A11" s="146">
        <v>35</v>
      </c>
      <c r="B11" s="150" t="s">
        <v>182</v>
      </c>
      <c r="C11" s="154">
        <v>47005.919999999998</v>
      </c>
      <c r="D11" s="157">
        <v>-4735.92</v>
      </c>
      <c r="E11" s="159">
        <f t="shared" si="0"/>
        <v>42270</v>
      </c>
      <c r="F11" s="99">
        <v>42270</v>
      </c>
      <c r="G11" s="47">
        <v>42270</v>
      </c>
      <c r="H11" s="47">
        <f t="shared" si="1"/>
        <v>0</v>
      </c>
      <c r="I11" s="27" t="s">
        <v>20</v>
      </c>
      <c r="J11" s="28">
        <v>5</v>
      </c>
      <c r="K11" s="9"/>
    </row>
    <row r="12" spans="1:11" s="5" customFormat="1" ht="31.5">
      <c r="A12" s="146">
        <v>36</v>
      </c>
      <c r="B12" s="150" t="s">
        <v>180</v>
      </c>
      <c r="C12" s="154">
        <v>54237.599999999999</v>
      </c>
      <c r="D12" s="157">
        <v>-5655.6</v>
      </c>
      <c r="E12" s="159">
        <f t="shared" si="0"/>
        <v>48582</v>
      </c>
      <c r="F12" s="100">
        <v>48582</v>
      </c>
      <c r="G12" s="26">
        <v>48582</v>
      </c>
      <c r="H12" s="47">
        <f t="shared" si="1"/>
        <v>0</v>
      </c>
      <c r="I12" s="27" t="s">
        <v>20</v>
      </c>
      <c r="J12" s="28">
        <v>5</v>
      </c>
      <c r="K12" s="9"/>
    </row>
    <row r="13" spans="1:11" s="5" customFormat="1" ht="31.5">
      <c r="A13" s="146">
        <v>38</v>
      </c>
      <c r="B13" s="150" t="s">
        <v>144</v>
      </c>
      <c r="C13" s="154">
        <v>22870.080000000002</v>
      </c>
      <c r="D13" s="157">
        <v>-10066.08</v>
      </c>
      <c r="E13" s="159">
        <f t="shared" si="0"/>
        <v>12804.000000000002</v>
      </c>
      <c r="F13" s="100">
        <v>12804</v>
      </c>
      <c r="G13" s="26">
        <v>12804</v>
      </c>
      <c r="H13" s="26">
        <f t="shared" si="1"/>
        <v>0</v>
      </c>
      <c r="I13" s="27" t="s">
        <v>20</v>
      </c>
      <c r="J13" s="28">
        <v>5</v>
      </c>
      <c r="K13" s="9"/>
    </row>
    <row r="14" spans="1:11" s="5" customFormat="1" ht="31.5">
      <c r="A14" s="146">
        <v>67</v>
      </c>
      <c r="B14" s="151" t="s">
        <v>325</v>
      </c>
      <c r="C14" s="154"/>
      <c r="D14" s="157">
        <v>70000</v>
      </c>
      <c r="E14" s="160">
        <f>D14</f>
        <v>70000</v>
      </c>
      <c r="F14" s="100"/>
      <c r="G14" s="26"/>
      <c r="H14" s="26"/>
      <c r="I14" s="27"/>
      <c r="J14" s="28"/>
      <c r="K14" s="9"/>
    </row>
    <row r="15" spans="1:11" s="5" customFormat="1" ht="20.45" customHeight="1">
      <c r="A15" s="147"/>
      <c r="B15" s="172" t="s">
        <v>354</v>
      </c>
      <c r="C15" s="155">
        <f>SUM(C6:C14)</f>
        <v>585278</v>
      </c>
      <c r="D15" s="158">
        <f>D6+D7+D8+D9+D10+D11+D12+D13</f>
        <v>-70000</v>
      </c>
      <c r="E15" s="161">
        <f>SUM(E6:E14)</f>
        <v>585278</v>
      </c>
      <c r="F15" s="100"/>
      <c r="G15" s="26"/>
      <c r="H15" s="26"/>
      <c r="I15" s="27"/>
      <c r="J15" s="28"/>
      <c r="K15" s="9"/>
    </row>
    <row r="16" spans="1:11" s="5" customFormat="1" ht="31.5">
      <c r="A16" s="146">
        <v>92</v>
      </c>
      <c r="B16" s="150" t="s">
        <v>64</v>
      </c>
      <c r="C16" s="154">
        <v>3697507.5</v>
      </c>
      <c r="D16" s="157">
        <v>-2135900</v>
      </c>
      <c r="E16" s="160">
        <f>C16+D16</f>
        <v>1561607.5</v>
      </c>
      <c r="F16" s="100"/>
      <c r="G16" s="26"/>
      <c r="H16" s="26"/>
      <c r="I16" s="27"/>
      <c r="J16" s="28"/>
      <c r="K16" s="9"/>
    </row>
    <row r="17" spans="1:12" s="5" customFormat="1" ht="15.75">
      <c r="A17" s="146">
        <v>93</v>
      </c>
      <c r="B17" s="150" t="s">
        <v>234</v>
      </c>
      <c r="C17" s="154">
        <v>3499300</v>
      </c>
      <c r="D17" s="157">
        <v>2135900</v>
      </c>
      <c r="E17" s="160">
        <f>C17+D17</f>
        <v>5635200</v>
      </c>
      <c r="F17" s="100"/>
      <c r="G17" s="26"/>
      <c r="H17" s="26"/>
      <c r="I17" s="27"/>
      <c r="J17" s="28"/>
      <c r="K17" s="9"/>
    </row>
    <row r="18" spans="1:12" s="5" customFormat="1" ht="23.45" customHeight="1">
      <c r="A18" s="147"/>
      <c r="B18" s="172" t="s">
        <v>354</v>
      </c>
      <c r="C18" s="155">
        <f>SUM(C16:C17)</f>
        <v>7196807.5</v>
      </c>
      <c r="D18" s="158">
        <f>D16</f>
        <v>-2135900</v>
      </c>
      <c r="E18" s="161">
        <f>SUM(E16:E17)</f>
        <v>7196807.5</v>
      </c>
      <c r="F18" s="101"/>
      <c r="G18" s="95"/>
      <c r="H18" s="95"/>
      <c r="I18" s="144"/>
      <c r="J18" s="145"/>
      <c r="K18" s="9"/>
    </row>
    <row r="19" spans="1:12" s="6" customFormat="1" ht="16.5">
      <c r="A19" s="148">
        <v>97</v>
      </c>
      <c r="B19" s="151" t="s">
        <v>337</v>
      </c>
      <c r="C19" s="156">
        <f>2258174.89285714*1.12</f>
        <v>2529155.8799999971</v>
      </c>
      <c r="D19" s="153">
        <f>-600000*1.12</f>
        <v>-672000.00000000012</v>
      </c>
      <c r="E19" s="160">
        <f>C19+D19</f>
        <v>1857155.8799999971</v>
      </c>
      <c r="F19" s="101"/>
      <c r="G19" s="95"/>
      <c r="H19" s="95"/>
      <c r="I19" s="97"/>
      <c r="J19" s="98"/>
      <c r="K19" s="77"/>
    </row>
    <row r="20" spans="1:12" s="6" customFormat="1" ht="31.5">
      <c r="A20" s="148">
        <v>72</v>
      </c>
      <c r="B20" s="152" t="s">
        <v>335</v>
      </c>
      <c r="C20" s="156">
        <v>600000</v>
      </c>
      <c r="D20" s="153">
        <f>600000*1.12</f>
        <v>672000.00000000012</v>
      </c>
      <c r="E20" s="160">
        <f>C20+D20</f>
        <v>1272000</v>
      </c>
      <c r="F20" s="101"/>
      <c r="G20" s="95"/>
      <c r="H20" s="95"/>
      <c r="I20" s="97"/>
      <c r="J20" s="98"/>
      <c r="K20" s="77"/>
    </row>
    <row r="21" spans="1:12" s="6" customFormat="1" ht="22.9" customHeight="1" thickBot="1">
      <c r="A21" s="162"/>
      <c r="B21" s="171" t="s">
        <v>354</v>
      </c>
      <c r="C21" s="163">
        <f>SUM(C19:C20)</f>
        <v>3129155.8799999971</v>
      </c>
      <c r="D21" s="164">
        <f>D19</f>
        <v>-672000.00000000012</v>
      </c>
      <c r="E21" s="165">
        <f>SUM(E19:E20)</f>
        <v>3129155.8799999971</v>
      </c>
      <c r="F21" s="101"/>
      <c r="G21" s="95"/>
      <c r="H21" s="95"/>
      <c r="I21" s="97"/>
      <c r="J21" s="98"/>
      <c r="K21" s="77"/>
    </row>
    <row r="22" spans="1:12" s="6" customFormat="1" ht="35.450000000000003" customHeight="1" thickBot="1">
      <c r="A22" s="166"/>
      <c r="B22" s="170" t="s">
        <v>355</v>
      </c>
      <c r="C22" s="167"/>
      <c r="D22" s="168">
        <f>D15+D18+D21</f>
        <v>-2877900</v>
      </c>
      <c r="E22" s="169"/>
      <c r="F22" s="101"/>
      <c r="G22" s="95"/>
      <c r="H22" s="95"/>
      <c r="I22" s="97"/>
      <c r="J22" s="98"/>
      <c r="K22" s="77"/>
      <c r="L22" s="106">
        <f>D14+D17+D20</f>
        <v>2877900</v>
      </c>
    </row>
    <row r="23" spans="1:12" ht="18.75">
      <c r="A23" s="85"/>
      <c r="B23" s="85"/>
      <c r="C23" s="85"/>
      <c r="D23" s="78"/>
      <c r="E23" s="85"/>
      <c r="F23" s="78"/>
      <c r="G23" s="78"/>
      <c r="H23" s="78"/>
      <c r="I23" s="84"/>
      <c r="J23" s="84"/>
    </row>
    <row r="24" spans="1:12" ht="18.75">
      <c r="A24" s="85"/>
      <c r="B24" s="85"/>
      <c r="C24" s="85"/>
      <c r="D24" s="78"/>
      <c r="E24" s="85"/>
      <c r="F24" s="78"/>
      <c r="G24" s="78"/>
      <c r="H24" s="78"/>
      <c r="I24" s="84"/>
      <c r="J24" s="84"/>
    </row>
    <row r="25" spans="1:12" ht="18.75">
      <c r="A25" s="85"/>
      <c r="B25" s="437"/>
      <c r="C25" s="437"/>
      <c r="D25" s="438"/>
      <c r="E25" s="437"/>
      <c r="F25" s="438"/>
      <c r="G25" s="438"/>
      <c r="H25" s="438"/>
      <c r="I25" s="84"/>
      <c r="J25" s="84"/>
    </row>
    <row r="26" spans="1:12" ht="18.75">
      <c r="A26" s="85"/>
      <c r="B26" s="80"/>
      <c r="C26" s="80"/>
      <c r="D26" s="80"/>
      <c r="E26" s="80"/>
      <c r="F26" s="80"/>
      <c r="G26" s="80"/>
      <c r="H26" s="80"/>
      <c r="I26" s="84"/>
      <c r="J26" s="84"/>
    </row>
    <row r="27" spans="1:12" ht="18.75">
      <c r="A27" s="85"/>
      <c r="B27" s="80"/>
      <c r="C27" s="80"/>
      <c r="D27" s="80"/>
      <c r="E27" s="80"/>
      <c r="F27" s="80"/>
      <c r="G27" s="80"/>
      <c r="H27" s="80"/>
      <c r="I27" s="78"/>
      <c r="J27" s="78"/>
    </row>
    <row r="28" spans="1:12" ht="18.75">
      <c r="A28" s="85"/>
      <c r="B28" s="80"/>
      <c r="C28" s="80"/>
      <c r="D28" s="80"/>
      <c r="E28" s="80"/>
      <c r="F28" s="80"/>
      <c r="G28" s="80"/>
      <c r="H28" s="80"/>
      <c r="I28" s="78"/>
      <c r="J28" s="78"/>
    </row>
    <row r="29" spans="1:12" ht="18.75">
      <c r="A29" s="85"/>
      <c r="B29" s="80"/>
      <c r="C29" s="80"/>
      <c r="D29" s="80"/>
      <c r="E29" s="80"/>
      <c r="F29" s="80"/>
      <c r="G29" s="80"/>
      <c r="H29" s="80"/>
      <c r="I29" s="78"/>
      <c r="J29" s="78"/>
    </row>
    <row r="30" spans="1:12" ht="18.75">
      <c r="A30" s="85"/>
      <c r="B30" s="80"/>
      <c r="C30" s="80"/>
      <c r="D30" s="80"/>
      <c r="E30" s="80"/>
      <c r="F30" s="80"/>
      <c r="G30" s="80"/>
      <c r="H30" s="80"/>
      <c r="I30" s="78"/>
      <c r="J30" s="78"/>
    </row>
    <row r="31" spans="1:12" ht="18.75">
      <c r="A31" s="85"/>
      <c r="B31" s="80"/>
      <c r="C31" s="80"/>
      <c r="D31" s="80"/>
      <c r="E31" s="80"/>
      <c r="F31" s="80"/>
      <c r="G31" s="80"/>
      <c r="H31" s="80"/>
      <c r="I31" s="78"/>
      <c r="J31" s="78"/>
    </row>
    <row r="32" spans="1:12" ht="18.75">
      <c r="A32" s="85"/>
      <c r="B32" s="80"/>
      <c r="C32" s="80"/>
      <c r="D32" s="80"/>
      <c r="E32" s="80"/>
      <c r="F32" s="80"/>
      <c r="G32" s="80"/>
      <c r="H32" s="80"/>
      <c r="I32" s="78"/>
      <c r="J32" s="78"/>
    </row>
    <row r="33" spans="1:10" ht="18.75">
      <c r="A33" s="85"/>
      <c r="B33" s="80"/>
      <c r="C33" s="80"/>
      <c r="D33" s="80"/>
      <c r="E33" s="80"/>
      <c r="F33" s="80"/>
      <c r="G33" s="80"/>
      <c r="H33" s="80"/>
      <c r="I33" s="78"/>
      <c r="J33" s="78"/>
    </row>
    <row r="34" spans="1:10" ht="18.75">
      <c r="A34" s="85"/>
      <c r="B34" s="80"/>
      <c r="C34" s="80"/>
      <c r="D34" s="80"/>
      <c r="E34" s="80"/>
      <c r="F34" s="80"/>
      <c r="G34" s="80"/>
      <c r="H34" s="80"/>
      <c r="I34" s="78"/>
      <c r="J34" s="78"/>
    </row>
    <row r="35" spans="1:10" ht="18.75">
      <c r="A35" s="86"/>
      <c r="B35" s="86"/>
      <c r="C35" s="86"/>
      <c r="E35" s="86"/>
    </row>
  </sheetData>
  <mergeCells count="12">
    <mergeCell ref="A2:K2"/>
    <mergeCell ref="J4:J5"/>
    <mergeCell ref="B25:H25"/>
    <mergeCell ref="F4:F5"/>
    <mergeCell ref="G4:G5"/>
    <mergeCell ref="H4:H5"/>
    <mergeCell ref="I4:I5"/>
    <mergeCell ref="A3:A5"/>
    <mergeCell ref="B3:B5"/>
    <mergeCell ref="C3:C5"/>
    <mergeCell ref="D3:D5"/>
    <mergeCell ref="E3:E5"/>
  </mergeCells>
  <dataValidations xWindow="1452" yWindow="647" count="2">
    <dataValidation allowBlank="1" showInputMessage="1" showErrorMessage="1" prompt="Наименование на государственном языке заполняется автоматически в соответствии с КТРУ" sqref="B6:B13"/>
    <dataValidation allowBlank="1" showInputMessage="1" showErrorMessage="1" prompt="Единица измерения заполняется автоматически в соответствии с КТРУ" sqref="B14:B15 B18:B22"/>
  </dataValidation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40"/>
  <sheetViews>
    <sheetView workbookViewId="0">
      <selection activeCell="A190" sqref="A1:XFD1048576"/>
    </sheetView>
  </sheetViews>
  <sheetFormatPr defaultRowHeight="15"/>
  <cols>
    <col min="1" max="1" width="6" customWidth="1"/>
    <col min="2" max="2" width="29.28515625" customWidth="1"/>
    <col min="3" max="4" width="17.28515625" customWidth="1"/>
    <col min="5" max="5" width="20.42578125" customWidth="1"/>
    <col min="6" max="6" width="21" customWidth="1"/>
    <col min="7" max="7" width="20" customWidth="1"/>
    <col min="8" max="8" width="18" customWidth="1"/>
    <col min="9" max="9" width="13.5703125" customWidth="1"/>
    <col min="11" max="11" width="13.7109375" customWidth="1"/>
    <col min="12" max="12" width="12.28515625" bestFit="1" customWidth="1"/>
  </cols>
  <sheetData>
    <row r="1" spans="1:12" ht="25.9" customHeight="1">
      <c r="A1" s="420" t="s">
        <v>430</v>
      </c>
      <c r="B1" s="420"/>
      <c r="C1" s="420"/>
      <c r="D1" s="420"/>
      <c r="E1" s="420"/>
      <c r="F1" s="420"/>
      <c r="G1" s="420"/>
      <c r="H1" s="420"/>
      <c r="I1" s="420"/>
    </row>
    <row r="2" spans="1:12" ht="29.45" customHeight="1" thickBot="1"/>
    <row r="3" spans="1:12" ht="63">
      <c r="A3" s="245" t="s">
        <v>352</v>
      </c>
      <c r="B3" s="246" t="s">
        <v>340</v>
      </c>
      <c r="C3" s="246" t="s">
        <v>375</v>
      </c>
      <c r="D3" s="246" t="s">
        <v>386</v>
      </c>
      <c r="E3" s="246" t="s">
        <v>332</v>
      </c>
      <c r="F3" s="246" t="s">
        <v>366</v>
      </c>
      <c r="G3" s="246" t="s">
        <v>443</v>
      </c>
      <c r="H3" s="246" t="s">
        <v>442</v>
      </c>
      <c r="I3" s="247" t="s">
        <v>365</v>
      </c>
    </row>
    <row r="4" spans="1:12" ht="47.25">
      <c r="A4" s="250">
        <v>1</v>
      </c>
      <c r="B4" s="119" t="s">
        <v>16</v>
      </c>
      <c r="C4" s="142">
        <v>75000</v>
      </c>
      <c r="D4" s="142">
        <v>55000</v>
      </c>
      <c r="E4" s="142">
        <f>75000+55000</f>
        <v>130000</v>
      </c>
      <c r="F4" s="142">
        <f>E4</f>
        <v>130000</v>
      </c>
      <c r="G4" s="142">
        <f>27928.56+1765.16</f>
        <v>29693.72</v>
      </c>
      <c r="H4" s="142">
        <f>27928.56+1765.16+10751.41*4</f>
        <v>72699.360000000001</v>
      </c>
      <c r="I4" s="248">
        <f>E4-H4</f>
        <v>57300.639999999999</v>
      </c>
    </row>
    <row r="5" spans="1:12" ht="32.25" thickBot="1">
      <c r="A5" s="251">
        <v>2</v>
      </c>
      <c r="B5" s="239" t="s">
        <v>21</v>
      </c>
      <c r="C5" s="142">
        <v>6846000</v>
      </c>
      <c r="D5" s="142">
        <v>-55000</v>
      </c>
      <c r="E5" s="240">
        <f>6846000-55000</f>
        <v>6791000</v>
      </c>
      <c r="F5" s="240">
        <v>6701750</v>
      </c>
      <c r="G5" s="240">
        <v>3678265.87</v>
      </c>
      <c r="H5" s="240">
        <v>6714999.6100000003</v>
      </c>
      <c r="I5" s="248">
        <f>E5-H5</f>
        <v>76000.389999999665</v>
      </c>
    </row>
    <row r="6" spans="1:12" ht="21" customHeight="1" thickBot="1">
      <c r="A6" s="241"/>
      <c r="B6" s="242" t="s">
        <v>369</v>
      </c>
      <c r="C6" s="243">
        <f t="shared" ref="C6:I6" si="0">SUM(C4:C5)</f>
        <v>6921000</v>
      </c>
      <c r="D6" s="243">
        <f t="shared" si="0"/>
        <v>0</v>
      </c>
      <c r="E6" s="243">
        <f t="shared" si="0"/>
        <v>6921000</v>
      </c>
      <c r="F6" s="243">
        <f t="shared" si="0"/>
        <v>6831750</v>
      </c>
      <c r="G6" s="243">
        <f t="shared" si="0"/>
        <v>3707959.5900000003</v>
      </c>
      <c r="H6" s="243">
        <f t="shared" si="0"/>
        <v>6787698.9700000007</v>
      </c>
      <c r="I6" s="244">
        <f t="shared" si="0"/>
        <v>133301.02999999968</v>
      </c>
    </row>
    <row r="7" spans="1:12" ht="63">
      <c r="A7" s="254">
        <v>3</v>
      </c>
      <c r="B7" s="252" t="s">
        <v>22</v>
      </c>
      <c r="C7" s="253">
        <v>129100</v>
      </c>
      <c r="D7" s="252"/>
      <c r="E7" s="253">
        <v>129100</v>
      </c>
      <c r="F7" s="253">
        <f>E7</f>
        <v>129100</v>
      </c>
      <c r="G7" s="253">
        <v>22935</v>
      </c>
      <c r="H7" s="253"/>
      <c r="I7" s="255">
        <f>E7-G7</f>
        <v>106165</v>
      </c>
    </row>
    <row r="8" spans="1:12" ht="37.15" customHeight="1" thickBot="1">
      <c r="A8" s="258">
        <v>4</v>
      </c>
      <c r="B8" s="239" t="s">
        <v>26</v>
      </c>
      <c r="C8" s="240">
        <v>8495482</v>
      </c>
      <c r="D8" s="240">
        <v>70000</v>
      </c>
      <c r="E8" s="240">
        <f>C8+D8</f>
        <v>8565482</v>
      </c>
      <c r="F8" s="240">
        <v>64995</v>
      </c>
      <c r="G8" s="240">
        <f>F8</f>
        <v>64995</v>
      </c>
      <c r="H8" s="240"/>
      <c r="I8" s="249">
        <f>E8-G8</f>
        <v>8500487</v>
      </c>
    </row>
    <row r="9" spans="1:12" ht="25.9" customHeight="1" thickBot="1">
      <c r="A9" s="241"/>
      <c r="B9" s="242" t="s">
        <v>370</v>
      </c>
      <c r="C9" s="243">
        <f t="shared" ref="C9:I9" si="1">SUM(C7:C8)</f>
        <v>8624582</v>
      </c>
      <c r="D9" s="281">
        <f t="shared" si="1"/>
        <v>70000</v>
      </c>
      <c r="E9" s="243">
        <f t="shared" si="1"/>
        <v>8694582</v>
      </c>
      <c r="F9" s="243">
        <f t="shared" si="1"/>
        <v>194095</v>
      </c>
      <c r="G9" s="243">
        <f t="shared" si="1"/>
        <v>87930</v>
      </c>
      <c r="H9" s="243">
        <f t="shared" si="1"/>
        <v>0</v>
      </c>
      <c r="I9" s="244">
        <f t="shared" si="1"/>
        <v>8606652</v>
      </c>
    </row>
    <row r="10" spans="1:12" ht="47.25">
      <c r="A10" s="259">
        <v>5</v>
      </c>
      <c r="B10" s="252" t="s">
        <v>27</v>
      </c>
      <c r="C10" s="253">
        <f>16033995.7142857*1.12+5387200</f>
        <v>23345275.199999984</v>
      </c>
      <c r="D10" s="253">
        <v>-5387200</v>
      </c>
      <c r="E10" s="253">
        <f>16033995.7142857*1.12</f>
        <v>17958075.199999984</v>
      </c>
      <c r="F10" s="253">
        <f>13100000*1.12</f>
        <v>14672000.000000002</v>
      </c>
      <c r="G10" s="253">
        <v>5387200</v>
      </c>
      <c r="H10" s="277" t="s">
        <v>341</v>
      </c>
      <c r="I10" s="255">
        <f>E10</f>
        <v>17958075.199999984</v>
      </c>
    </row>
    <row r="11" spans="1:12" ht="31.5">
      <c r="A11" s="250">
        <v>6</v>
      </c>
      <c r="B11" s="119" t="s">
        <v>367</v>
      </c>
      <c r="C11" s="142">
        <f>843341.517857143*1.12</f>
        <v>944542.50000000023</v>
      </c>
      <c r="D11" s="142"/>
      <c r="E11" s="142">
        <f>843341.517857143*1.12</f>
        <v>944542.50000000023</v>
      </c>
      <c r="F11" s="142">
        <v>0</v>
      </c>
      <c r="G11" s="142">
        <v>510000</v>
      </c>
      <c r="H11" s="142"/>
      <c r="I11" s="248">
        <f>E11-G11</f>
        <v>434542.50000000023</v>
      </c>
    </row>
    <row r="12" spans="1:12" ht="31.5">
      <c r="A12" s="250">
        <v>7</v>
      </c>
      <c r="B12" s="119" t="s">
        <v>376</v>
      </c>
      <c r="C12" s="142">
        <f>82033.9285714286*1.12</f>
        <v>91878.000000000029</v>
      </c>
      <c r="D12" s="142"/>
      <c r="E12" s="142">
        <f>82033.9285714286*1.12</f>
        <v>91878.000000000029</v>
      </c>
      <c r="F12" s="142">
        <v>0</v>
      </c>
      <c r="G12" s="142">
        <v>89600</v>
      </c>
      <c r="H12" s="142"/>
      <c r="I12" s="248">
        <f>E12-G12</f>
        <v>2278.0000000000291</v>
      </c>
    </row>
    <row r="13" spans="1:12" ht="31.5">
      <c r="A13" s="250">
        <v>8</v>
      </c>
      <c r="B13" s="119" t="s">
        <v>31</v>
      </c>
      <c r="C13" s="142">
        <f>1079683.92857143*1.12+279552</f>
        <v>1488798.0000000019</v>
      </c>
      <c r="D13" s="142">
        <v>-279552</v>
      </c>
      <c r="E13" s="142">
        <f>1079683.92857143*1.12</f>
        <v>1209246.0000000019</v>
      </c>
      <c r="F13" s="142">
        <v>1064000</v>
      </c>
      <c r="G13" s="142">
        <v>279552</v>
      </c>
      <c r="H13" s="277" t="s">
        <v>341</v>
      </c>
      <c r="I13" s="248">
        <f>C13-G13</f>
        <v>1209246.0000000019</v>
      </c>
    </row>
    <row r="14" spans="1:12" ht="110.25">
      <c r="A14" s="250" t="s">
        <v>368</v>
      </c>
      <c r="B14" s="119" t="s">
        <v>32</v>
      </c>
      <c r="C14" s="142">
        <v>20873920</v>
      </c>
      <c r="D14" s="142">
        <f>-(4182976+1080000+1911600.3)</f>
        <v>-7174576.2999999998</v>
      </c>
      <c r="E14" s="142">
        <f>12231557.1428571*1.12</f>
        <v>13699343.999999953</v>
      </c>
      <c r="F14" s="142">
        <f>11688000*1.12</f>
        <v>13090560.000000002</v>
      </c>
      <c r="G14" s="142">
        <f>8066016</f>
        <v>8066016</v>
      </c>
      <c r="H14" s="142">
        <f>F14</f>
        <v>13090560.000000002</v>
      </c>
      <c r="I14" s="248">
        <f>E14-H14</f>
        <v>608783.99999995157</v>
      </c>
    </row>
    <row r="15" spans="1:12" ht="20.45" customHeight="1" thickBot="1">
      <c r="A15" s="314" t="s">
        <v>372</v>
      </c>
      <c r="B15" s="315" t="s">
        <v>39</v>
      </c>
      <c r="C15" s="316">
        <f>843750*1.12</f>
        <v>945000.00000000012</v>
      </c>
      <c r="D15" s="316"/>
      <c r="E15" s="316">
        <f>843750*1.12</f>
        <v>945000.00000000012</v>
      </c>
      <c r="F15" s="316">
        <f>262500*1.12</f>
        <v>294000</v>
      </c>
      <c r="G15" s="316">
        <v>223440</v>
      </c>
      <c r="H15" s="316">
        <f>F15</f>
        <v>294000</v>
      </c>
      <c r="I15" s="317">
        <f>E15-F15</f>
        <v>651000.00000000012</v>
      </c>
    </row>
    <row r="16" spans="1:12" ht="31.5">
      <c r="A16" s="318" t="s">
        <v>373</v>
      </c>
      <c r="B16" s="319" t="s">
        <v>34</v>
      </c>
      <c r="C16" s="320">
        <f>3928571.42857143*1.12</f>
        <v>4400000.0000000019</v>
      </c>
      <c r="D16" s="320"/>
      <c r="E16" s="320">
        <f>3928571.42857143*1.12</f>
        <v>4400000.0000000019</v>
      </c>
      <c r="F16" s="320">
        <f>2750000*1.12</f>
        <v>3080000.0000000005</v>
      </c>
      <c r="G16" s="320">
        <v>0</v>
      </c>
      <c r="H16" s="320">
        <f>F16</f>
        <v>3080000.0000000005</v>
      </c>
      <c r="I16" s="321">
        <f>E16-H16</f>
        <v>1320000.0000000014</v>
      </c>
      <c r="L16" s="133"/>
    </row>
    <row r="17" spans="1:9" ht="47.25">
      <c r="A17" s="250" t="s">
        <v>374</v>
      </c>
      <c r="B17" s="119" t="s">
        <v>37</v>
      </c>
      <c r="C17" s="142">
        <f>226785.714285714*1.12</f>
        <v>253999.99999999971</v>
      </c>
      <c r="D17" s="142">
        <v>-254000</v>
      </c>
      <c r="E17" s="142">
        <f>C17+D17</f>
        <v>-2.9103830456733704E-10</v>
      </c>
      <c r="F17" s="142" t="s">
        <v>273</v>
      </c>
      <c r="G17" s="142">
        <v>231000</v>
      </c>
      <c r="H17" s="142">
        <f>G17</f>
        <v>231000</v>
      </c>
      <c r="I17" s="248">
        <f>C17-H17</f>
        <v>22999.999999999709</v>
      </c>
    </row>
    <row r="18" spans="1:9" ht="47.25">
      <c r="A18" s="250">
        <v>13</v>
      </c>
      <c r="B18" s="119" t="s">
        <v>183</v>
      </c>
      <c r="C18" s="142">
        <f>1130535.71428571*1.12</f>
        <v>1266199.9999999951</v>
      </c>
      <c r="D18" s="142"/>
      <c r="E18" s="142">
        <f>1130535.71428571*1.12</f>
        <v>1266199.9999999951</v>
      </c>
      <c r="F18" s="142">
        <f>403000*1.12</f>
        <v>451360.00000000006</v>
      </c>
      <c r="G18" s="142">
        <v>0</v>
      </c>
      <c r="H18" s="142">
        <f>F18</f>
        <v>451360.00000000006</v>
      </c>
      <c r="I18" s="248">
        <f>C18-H18</f>
        <v>814839.99999999511</v>
      </c>
    </row>
    <row r="19" spans="1:9" ht="47.25">
      <c r="A19" s="250">
        <v>14</v>
      </c>
      <c r="B19" s="119" t="s">
        <v>38</v>
      </c>
      <c r="C19" s="142">
        <f>270089.285714286*1.12</f>
        <v>302500.00000000029</v>
      </c>
      <c r="D19" s="142"/>
      <c r="E19" s="142">
        <f>270089.285714286*1.12</f>
        <v>302500.00000000029</v>
      </c>
      <c r="F19" s="142">
        <f>249700*1.12</f>
        <v>279664</v>
      </c>
      <c r="G19" s="142">
        <f>35593.6+49350+21150</f>
        <v>106093.6</v>
      </c>
      <c r="H19" s="142">
        <f>F19</f>
        <v>279664</v>
      </c>
      <c r="I19" s="248">
        <f>C19-H19</f>
        <v>22836.000000000291</v>
      </c>
    </row>
    <row r="20" spans="1:9" ht="18" customHeight="1">
      <c r="A20" s="250">
        <v>15</v>
      </c>
      <c r="B20" s="119" t="s">
        <v>40</v>
      </c>
      <c r="C20" s="142">
        <f>334821.428571429*1.12</f>
        <v>375000.00000000052</v>
      </c>
      <c r="D20" s="142"/>
      <c r="E20" s="142">
        <f>334821.428571429*1.12</f>
        <v>375000.00000000052</v>
      </c>
      <c r="F20" s="142">
        <f>115400*1.12</f>
        <v>129248.00000000001</v>
      </c>
      <c r="G20" s="142">
        <v>0</v>
      </c>
      <c r="H20" s="142">
        <f>F20</f>
        <v>129248.00000000001</v>
      </c>
      <c r="I20" s="248">
        <f>C20-H20</f>
        <v>245752.00000000052</v>
      </c>
    </row>
    <row r="21" spans="1:9" ht="22.15" customHeight="1">
      <c r="A21" s="250">
        <v>16</v>
      </c>
      <c r="B21" s="119" t="s">
        <v>41</v>
      </c>
      <c r="C21" s="142">
        <f>1719642.85714286*1.12</f>
        <v>1926000.0000000035</v>
      </c>
      <c r="D21" s="142">
        <v>32016</v>
      </c>
      <c r="E21" s="142">
        <f>1719642.85714286*1.12+D21</f>
        <v>1958016.0000000035</v>
      </c>
      <c r="F21" s="142">
        <f>1089591.52*1.12</f>
        <v>1220342.5024000001</v>
      </c>
      <c r="G21" s="142">
        <v>0</v>
      </c>
      <c r="H21" s="142">
        <f>F21</f>
        <v>1220342.5024000001</v>
      </c>
      <c r="I21" s="248">
        <f>C21-H21</f>
        <v>705657.49760000338</v>
      </c>
    </row>
    <row r="22" spans="1:9" ht="63">
      <c r="A22" s="250">
        <v>17</v>
      </c>
      <c r="B22" s="119" t="s">
        <v>228</v>
      </c>
      <c r="C22" s="142"/>
      <c r="D22" s="142">
        <v>1080000</v>
      </c>
      <c r="E22" s="142">
        <f>964285.714285714*1.12</f>
        <v>1079999.9999999998</v>
      </c>
      <c r="F22" s="142">
        <v>0</v>
      </c>
      <c r="G22" s="142">
        <v>0</v>
      </c>
      <c r="H22" s="142"/>
      <c r="I22" s="248"/>
    </row>
    <row r="23" spans="1:9" ht="63">
      <c r="A23" s="250">
        <v>18</v>
      </c>
      <c r="B23" s="119" t="s">
        <v>258</v>
      </c>
      <c r="C23" s="142"/>
      <c r="D23" s="142">
        <v>1911600.32</v>
      </c>
      <c r="E23" s="142">
        <f>1706786*1.12</f>
        <v>1911600.3200000003</v>
      </c>
      <c r="F23" s="142">
        <f>1706786*1.12</f>
        <v>1911600.3200000003</v>
      </c>
      <c r="G23" s="142">
        <v>0</v>
      </c>
      <c r="H23" s="142">
        <f>F23</f>
        <v>1911600.3200000003</v>
      </c>
      <c r="I23" s="248">
        <f>F23-H23</f>
        <v>0</v>
      </c>
    </row>
    <row r="24" spans="1:9" ht="63">
      <c r="A24" s="250">
        <v>19</v>
      </c>
      <c r="B24" s="119" t="s">
        <v>43</v>
      </c>
      <c r="C24" s="142">
        <f>458571.428571429*1.12</f>
        <v>513600.00000000052</v>
      </c>
      <c r="D24" s="142"/>
      <c r="E24" s="142">
        <f>458571.428571429*1.12</f>
        <v>513600.00000000052</v>
      </c>
      <c r="F24" s="142">
        <f>399999*1.12</f>
        <v>447998.88000000006</v>
      </c>
      <c r="G24" s="142">
        <v>261978</v>
      </c>
      <c r="H24" s="142">
        <f>F24</f>
        <v>447998.88000000006</v>
      </c>
      <c r="I24" s="248">
        <f>C24-H24</f>
        <v>65601.120000000461</v>
      </c>
    </row>
    <row r="25" spans="1:9" ht="63">
      <c r="A25" s="251">
        <v>20</v>
      </c>
      <c r="B25" s="239" t="s">
        <v>46</v>
      </c>
      <c r="C25" s="240">
        <f>460357.142857143*1.12</f>
        <v>515600.00000000023</v>
      </c>
      <c r="D25" s="240"/>
      <c r="E25" s="240">
        <f>460357.142857143*1.12</f>
        <v>515600.00000000023</v>
      </c>
      <c r="F25" s="240">
        <v>0</v>
      </c>
      <c r="G25" s="240">
        <v>0</v>
      </c>
      <c r="H25" s="260"/>
      <c r="I25" s="261"/>
    </row>
    <row r="26" spans="1:9" ht="48" thickBot="1">
      <c r="A26" s="251"/>
      <c r="B26" s="138" t="s">
        <v>343</v>
      </c>
      <c r="C26" s="134"/>
      <c r="D26" s="134">
        <f>198200*1.12</f>
        <v>221984.00000000003</v>
      </c>
      <c r="E26" s="134">
        <f>D26</f>
        <v>221984.00000000003</v>
      </c>
      <c r="F26" s="134">
        <v>156000</v>
      </c>
      <c r="G26" s="134">
        <f>F26</f>
        <v>156000</v>
      </c>
      <c r="H26" s="134">
        <f>G26</f>
        <v>156000</v>
      </c>
      <c r="I26" s="256">
        <f>E26-H26</f>
        <v>65984.000000000029</v>
      </c>
    </row>
    <row r="27" spans="1:9" ht="23.45" customHeight="1" thickBot="1">
      <c r="A27" s="241"/>
      <c r="B27" s="242" t="s">
        <v>371</v>
      </c>
      <c r="C27" s="243">
        <f>SUM(C10:C26)</f>
        <v>57242313.699999981</v>
      </c>
      <c r="D27" s="243">
        <f t="shared" ref="D27:I27" si="2">SUM(D10:D26)</f>
        <v>-9849727.9800000004</v>
      </c>
      <c r="E27" s="243">
        <f t="shared" si="2"/>
        <v>47392586.019999936</v>
      </c>
      <c r="F27" s="243">
        <f t="shared" si="2"/>
        <v>36796773.702400006</v>
      </c>
      <c r="G27" s="243">
        <f t="shared" si="2"/>
        <v>15310879.6</v>
      </c>
      <c r="H27" s="243">
        <f t="shared" si="2"/>
        <v>21291773.702400003</v>
      </c>
      <c r="I27" s="244">
        <f t="shared" si="2"/>
        <v>24127596.317599941</v>
      </c>
    </row>
    <row r="28" spans="1:9" ht="48" thickBot="1">
      <c r="A28" s="314">
        <v>21</v>
      </c>
      <c r="B28" s="322" t="s">
        <v>47</v>
      </c>
      <c r="C28" s="323">
        <v>897700</v>
      </c>
      <c r="D28" s="323">
        <v>62300</v>
      </c>
      <c r="E28" s="323">
        <v>960000</v>
      </c>
      <c r="F28" s="323">
        <v>960000</v>
      </c>
      <c r="G28" s="323">
        <f>F28/12*8</f>
        <v>640000</v>
      </c>
      <c r="H28" s="323">
        <f>F28</f>
        <v>960000</v>
      </c>
      <c r="I28" s="324">
        <f>E28-H28</f>
        <v>0</v>
      </c>
    </row>
    <row r="29" spans="1:9" ht="47.25">
      <c r="A29" s="318">
        <v>22</v>
      </c>
      <c r="B29" s="325" t="s">
        <v>48</v>
      </c>
      <c r="C29" s="326">
        <v>233280</v>
      </c>
      <c r="D29" s="326">
        <v>-62300</v>
      </c>
      <c r="E29" s="326">
        <v>171000</v>
      </c>
      <c r="F29" s="326">
        <v>171000</v>
      </c>
      <c r="G29" s="326">
        <f>F29/12*8</f>
        <v>114000</v>
      </c>
      <c r="H29" s="326">
        <f>F29</f>
        <v>171000</v>
      </c>
      <c r="I29" s="327">
        <f>E29-H29</f>
        <v>0</v>
      </c>
    </row>
    <row r="30" spans="1:9" ht="15.75">
      <c r="A30" s="250">
        <v>23</v>
      </c>
      <c r="B30" s="136" t="s">
        <v>51</v>
      </c>
      <c r="C30" s="134">
        <f>6250000*1.12</f>
        <v>7000000.0000000009</v>
      </c>
      <c r="D30" s="134"/>
      <c r="E30" s="134">
        <f>6250000*1.12</f>
        <v>7000000.0000000009</v>
      </c>
      <c r="F30" s="134">
        <v>0</v>
      </c>
      <c r="G30" s="134">
        <v>0</v>
      </c>
      <c r="H30" s="134"/>
      <c r="I30" s="256"/>
    </row>
    <row r="31" spans="1:9" ht="94.5">
      <c r="A31" s="250">
        <v>24</v>
      </c>
      <c r="B31" s="136" t="s">
        <v>52</v>
      </c>
      <c r="C31" s="134">
        <f>388392.857142857*1.12</f>
        <v>434999.99999999988</v>
      </c>
      <c r="D31" s="134"/>
      <c r="E31" s="134">
        <f>388392.857142857*1.12</f>
        <v>434999.99999999988</v>
      </c>
      <c r="F31" s="134">
        <v>270358</v>
      </c>
      <c r="G31" s="134">
        <f>39570.58+52646.08+313672.57</f>
        <v>405889.23</v>
      </c>
      <c r="H31" s="134">
        <f>39570.58+52646.08+313672.57+52646.08*4</f>
        <v>616473.55000000005</v>
      </c>
      <c r="I31" s="256">
        <f>E31-H31</f>
        <v>-181473.55000000016</v>
      </c>
    </row>
    <row r="32" spans="1:9" ht="31.5">
      <c r="A32" s="250">
        <v>24</v>
      </c>
      <c r="B32" s="271" t="s">
        <v>53</v>
      </c>
      <c r="C32" s="134">
        <v>286309</v>
      </c>
      <c r="D32" s="134"/>
      <c r="E32" s="134">
        <v>286309</v>
      </c>
      <c r="F32" s="134">
        <v>0</v>
      </c>
      <c r="G32" s="134">
        <v>0</v>
      </c>
      <c r="H32" s="134"/>
      <c r="I32" s="256"/>
    </row>
    <row r="33" spans="1:9" ht="47.25">
      <c r="A33" s="250">
        <v>72</v>
      </c>
      <c r="B33" s="138" t="s">
        <v>335</v>
      </c>
      <c r="C33" s="134">
        <v>600000</v>
      </c>
      <c r="D33" s="134">
        <v>600000</v>
      </c>
      <c r="E33" s="134">
        <f>C33+D33</f>
        <v>1200000</v>
      </c>
      <c r="F33" s="134">
        <v>0</v>
      </c>
      <c r="G33" s="134">
        <v>0</v>
      </c>
      <c r="H33" s="134"/>
      <c r="I33" s="256"/>
    </row>
    <row r="34" spans="1:9" ht="32.25" thickBot="1">
      <c r="A34" s="251"/>
      <c r="B34" s="138" t="s">
        <v>378</v>
      </c>
      <c r="C34" s="263">
        <v>4200000</v>
      </c>
      <c r="D34" s="263"/>
      <c r="E34" s="263"/>
      <c r="F34" s="263">
        <f>C34</f>
        <v>4200000</v>
      </c>
      <c r="G34" s="263">
        <v>2800000</v>
      </c>
      <c r="H34" s="263">
        <f>G34+350000*4</f>
        <v>4200000</v>
      </c>
      <c r="I34" s="264">
        <f>F34-H34</f>
        <v>0</v>
      </c>
    </row>
    <row r="35" spans="1:9" ht="33" customHeight="1" thickBot="1">
      <c r="A35" s="241"/>
      <c r="B35" s="242" t="s">
        <v>377</v>
      </c>
      <c r="C35" s="243">
        <f t="shared" ref="C35:I35" si="3">SUM(C28:C34)</f>
        <v>13652289</v>
      </c>
      <c r="D35" s="281">
        <f t="shared" si="3"/>
        <v>600000</v>
      </c>
      <c r="E35" s="243">
        <f t="shared" si="3"/>
        <v>10052309</v>
      </c>
      <c r="F35" s="243">
        <f t="shared" si="3"/>
        <v>5601358</v>
      </c>
      <c r="G35" s="243">
        <f t="shared" si="3"/>
        <v>3959889.23</v>
      </c>
      <c r="H35" s="243">
        <f t="shared" si="3"/>
        <v>5947473.5499999998</v>
      </c>
      <c r="I35" s="244">
        <f t="shared" si="3"/>
        <v>-181473.55000000016</v>
      </c>
    </row>
    <row r="36" spans="1:9" ht="19.899999999999999" customHeight="1">
      <c r="A36" s="103">
        <v>26</v>
      </c>
      <c r="B36" s="265" t="s">
        <v>142</v>
      </c>
      <c r="C36" s="134">
        <v>117119.52</v>
      </c>
      <c r="D36" s="238"/>
      <c r="E36" s="238">
        <v>117119.52</v>
      </c>
      <c r="F36" s="266">
        <v>112425</v>
      </c>
      <c r="G36" s="266">
        <v>0</v>
      </c>
      <c r="H36" s="134"/>
      <c r="I36" s="256"/>
    </row>
    <row r="37" spans="1:9" ht="19.899999999999999" customHeight="1">
      <c r="A37" s="103">
        <v>27</v>
      </c>
      <c r="B37" s="137" t="s">
        <v>143</v>
      </c>
      <c r="C37" s="134">
        <v>69418.080000000002</v>
      </c>
      <c r="D37" s="134">
        <f>E37-C37</f>
        <v>-5204.0800000000017</v>
      </c>
      <c r="E37" s="134">
        <v>64214</v>
      </c>
      <c r="F37" s="134">
        <v>64214</v>
      </c>
      <c r="G37" s="135">
        <v>36720</v>
      </c>
      <c r="H37" s="134"/>
      <c r="I37" s="256"/>
    </row>
    <row r="38" spans="1:9" ht="31.5">
      <c r="A38" s="103">
        <v>28</v>
      </c>
      <c r="B38" s="137" t="s">
        <v>195</v>
      </c>
      <c r="C38" s="134">
        <v>159840</v>
      </c>
      <c r="D38" s="134">
        <f>E38-C38</f>
        <v>-10972</v>
      </c>
      <c r="E38" s="134">
        <v>148868</v>
      </c>
      <c r="F38" s="134">
        <v>148868</v>
      </c>
      <c r="G38" s="142">
        <f>37217+95482.75</f>
        <v>132699.75</v>
      </c>
      <c r="H38" s="142"/>
      <c r="I38" s="248"/>
    </row>
    <row r="39" spans="1:9" ht="31.5">
      <c r="A39" s="103">
        <v>29</v>
      </c>
      <c r="B39" s="137" t="s">
        <v>178</v>
      </c>
      <c r="C39" s="134">
        <v>54743.040000000001</v>
      </c>
      <c r="D39" s="134">
        <f>E39-C39</f>
        <v>-5947.0400000000009</v>
      </c>
      <c r="E39" s="134">
        <v>48796</v>
      </c>
      <c r="F39" s="134">
        <v>48796</v>
      </c>
      <c r="G39" s="142">
        <v>22877</v>
      </c>
      <c r="H39" s="142"/>
      <c r="I39" s="248"/>
    </row>
    <row r="40" spans="1:9" ht="31.5">
      <c r="A40" s="103">
        <v>30</v>
      </c>
      <c r="B40" s="137" t="s">
        <v>179</v>
      </c>
      <c r="C40" s="134">
        <v>75129.119999999995</v>
      </c>
      <c r="D40" s="134">
        <f t="shared" ref="D40:D64" si="4">E40-C40</f>
        <v>-9435.1199999999953</v>
      </c>
      <c r="E40" s="134">
        <v>65694</v>
      </c>
      <c r="F40" s="134">
        <v>65694</v>
      </c>
      <c r="G40" s="142">
        <v>32847</v>
      </c>
      <c r="H40" s="142"/>
      <c r="I40" s="248"/>
    </row>
    <row r="41" spans="1:9" ht="31.5">
      <c r="A41" s="103">
        <v>31</v>
      </c>
      <c r="B41" s="137" t="s">
        <v>174</v>
      </c>
      <c r="C41" s="134">
        <v>110484</v>
      </c>
      <c r="D41" s="134">
        <f t="shared" si="4"/>
        <v>-11440</v>
      </c>
      <c r="E41" s="134">
        <v>99044</v>
      </c>
      <c r="F41" s="134">
        <v>99044</v>
      </c>
      <c r="G41" s="142">
        <v>49522</v>
      </c>
      <c r="H41" s="142"/>
      <c r="I41" s="248"/>
    </row>
    <row r="42" spans="1:9" ht="31.5">
      <c r="A42" s="103">
        <v>32</v>
      </c>
      <c r="B42" s="137" t="s">
        <v>175</v>
      </c>
      <c r="C42" s="134">
        <v>110484</v>
      </c>
      <c r="D42" s="134">
        <f t="shared" si="4"/>
        <v>-11440</v>
      </c>
      <c r="E42" s="134">
        <v>99044</v>
      </c>
      <c r="F42" s="134">
        <v>99044</v>
      </c>
      <c r="G42" s="142">
        <v>49522</v>
      </c>
      <c r="H42" s="142"/>
      <c r="I42" s="248"/>
    </row>
    <row r="43" spans="1:9" ht="31.5">
      <c r="A43" s="103">
        <v>33</v>
      </c>
      <c r="B43" s="137" t="s">
        <v>176</v>
      </c>
      <c r="C43" s="134">
        <v>110484</v>
      </c>
      <c r="D43" s="134">
        <f t="shared" si="4"/>
        <v>-11440</v>
      </c>
      <c r="E43" s="134">
        <v>99044</v>
      </c>
      <c r="F43" s="134">
        <v>99044</v>
      </c>
      <c r="G43" s="142">
        <v>49522</v>
      </c>
      <c r="H43" s="142"/>
      <c r="I43" s="248"/>
    </row>
    <row r="44" spans="1:9" ht="31.5">
      <c r="A44" s="103">
        <v>34</v>
      </c>
      <c r="B44" s="137" t="s">
        <v>181</v>
      </c>
      <c r="C44" s="134">
        <v>31739.040000000001</v>
      </c>
      <c r="D44" s="134"/>
      <c r="E44" s="134">
        <v>31739.040000000001</v>
      </c>
      <c r="F44" s="134">
        <v>28708</v>
      </c>
      <c r="G44" s="142">
        <v>0</v>
      </c>
      <c r="H44" s="142"/>
      <c r="I44" s="248"/>
    </row>
    <row r="45" spans="1:9" ht="32.25" thickBot="1">
      <c r="A45" s="328">
        <v>35</v>
      </c>
      <c r="B45" s="329" t="s">
        <v>182</v>
      </c>
      <c r="C45" s="330">
        <v>47005.919999999998</v>
      </c>
      <c r="D45" s="330">
        <v>-4735.92</v>
      </c>
      <c r="E45" s="330">
        <f>C45+D45</f>
        <v>42270</v>
      </c>
      <c r="F45" s="330">
        <v>42270</v>
      </c>
      <c r="G45" s="316">
        <v>14240</v>
      </c>
      <c r="H45" s="316"/>
      <c r="I45" s="317"/>
    </row>
    <row r="46" spans="1:9" ht="31.5">
      <c r="A46" s="331">
        <v>36</v>
      </c>
      <c r="B46" s="332" t="s">
        <v>180</v>
      </c>
      <c r="C46" s="326">
        <v>54237.599999999999</v>
      </c>
      <c r="D46" s="326">
        <f t="shared" si="4"/>
        <v>-5655.5999999999985</v>
      </c>
      <c r="E46" s="326">
        <v>48582</v>
      </c>
      <c r="F46" s="326">
        <v>48582</v>
      </c>
      <c r="G46" s="320">
        <f>16194</f>
        <v>16194</v>
      </c>
      <c r="H46" s="320"/>
      <c r="I46" s="321"/>
    </row>
    <row r="47" spans="1:9" ht="31.5">
      <c r="A47" s="103">
        <v>37</v>
      </c>
      <c r="B47" s="137" t="s">
        <v>177</v>
      </c>
      <c r="C47" s="134">
        <v>150266.88</v>
      </c>
      <c r="D47" s="134"/>
      <c r="E47" s="134">
        <v>150266.88</v>
      </c>
      <c r="F47" s="134">
        <v>141892</v>
      </c>
      <c r="G47" s="142">
        <f>35473+70814</f>
        <v>106287</v>
      </c>
      <c r="H47" s="142"/>
      <c r="I47" s="248"/>
    </row>
    <row r="48" spans="1:9" ht="31.5">
      <c r="A48" s="103">
        <v>38</v>
      </c>
      <c r="B48" s="137" t="s">
        <v>144</v>
      </c>
      <c r="C48" s="134">
        <v>22870.080000000002</v>
      </c>
      <c r="D48" s="134">
        <f t="shared" si="4"/>
        <v>-10066.080000000002</v>
      </c>
      <c r="E48" s="134">
        <v>12804</v>
      </c>
      <c r="F48" s="134">
        <v>12804</v>
      </c>
      <c r="G48" s="142">
        <v>0</v>
      </c>
      <c r="H48" s="142"/>
      <c r="I48" s="248"/>
    </row>
    <row r="49" spans="1:9" ht="20.45" customHeight="1">
      <c r="A49" s="103">
        <v>39</v>
      </c>
      <c r="B49" s="137" t="s">
        <v>145</v>
      </c>
      <c r="C49" s="134">
        <v>90720</v>
      </c>
      <c r="D49" s="134"/>
      <c r="E49" s="134">
        <v>90720</v>
      </c>
      <c r="F49" s="134">
        <v>73872</v>
      </c>
      <c r="G49" s="142">
        <v>0</v>
      </c>
      <c r="H49" s="142"/>
      <c r="I49" s="248"/>
    </row>
    <row r="50" spans="1:9" ht="31.5">
      <c r="A50" s="103">
        <v>40</v>
      </c>
      <c r="B50" s="137" t="s">
        <v>147</v>
      </c>
      <c r="C50" s="134">
        <v>52455.6</v>
      </c>
      <c r="D50" s="134"/>
      <c r="E50" s="134">
        <v>52455.6</v>
      </c>
      <c r="F50" s="134"/>
      <c r="G50" s="142">
        <f>F50</f>
        <v>0</v>
      </c>
      <c r="H50" s="142"/>
      <c r="I50" s="248"/>
    </row>
    <row r="51" spans="1:9" ht="31.5">
      <c r="A51" s="103">
        <v>41</v>
      </c>
      <c r="B51" s="137" t="s">
        <v>146</v>
      </c>
      <c r="C51" s="134">
        <v>59111.64</v>
      </c>
      <c r="D51" s="134"/>
      <c r="E51" s="134">
        <v>59111.64</v>
      </c>
      <c r="F51" s="134">
        <v>40426</v>
      </c>
      <c r="G51" s="142">
        <v>0</v>
      </c>
      <c r="H51" s="142"/>
      <c r="I51" s="248"/>
    </row>
    <row r="52" spans="1:9" ht="31.5">
      <c r="A52" s="103">
        <v>42</v>
      </c>
      <c r="B52" s="136" t="s">
        <v>138</v>
      </c>
      <c r="C52" s="134">
        <v>150000</v>
      </c>
      <c r="D52" s="142">
        <f t="shared" si="4"/>
        <v>-9000</v>
      </c>
      <c r="E52" s="134">
        <v>141000</v>
      </c>
      <c r="F52" s="134">
        <v>141000</v>
      </c>
      <c r="G52" s="142">
        <v>111660</v>
      </c>
      <c r="H52" s="142"/>
      <c r="I52" s="248"/>
    </row>
    <row r="53" spans="1:9" ht="15.75">
      <c r="A53" s="103">
        <v>43</v>
      </c>
      <c r="B53" s="136" t="s">
        <v>140</v>
      </c>
      <c r="C53" s="134">
        <v>13260</v>
      </c>
      <c r="D53" s="142">
        <f t="shared" si="4"/>
        <v>-2800</v>
      </c>
      <c r="E53" s="134">
        <v>10460</v>
      </c>
      <c r="F53" s="134">
        <v>9588</v>
      </c>
      <c r="G53" s="142">
        <v>2350</v>
      </c>
      <c r="H53" s="142"/>
      <c r="I53" s="248"/>
    </row>
    <row r="54" spans="1:9" ht="15.75">
      <c r="A54" s="103">
        <v>44</v>
      </c>
      <c r="B54" s="137" t="s">
        <v>141</v>
      </c>
      <c r="C54" s="134">
        <v>5500</v>
      </c>
      <c r="D54" s="142"/>
      <c r="E54" s="134">
        <v>5500</v>
      </c>
      <c r="F54" s="134">
        <v>5500</v>
      </c>
      <c r="G54" s="142">
        <v>5500</v>
      </c>
      <c r="H54" s="142"/>
      <c r="I54" s="248"/>
    </row>
    <row r="55" spans="1:9" ht="31.5">
      <c r="A55" s="103">
        <v>45</v>
      </c>
      <c r="B55" s="137" t="s">
        <v>172</v>
      </c>
      <c r="C55" s="134">
        <v>3500</v>
      </c>
      <c r="D55" s="142">
        <f t="shared" si="4"/>
        <v>-500</v>
      </c>
      <c r="E55" s="134">
        <v>3000</v>
      </c>
      <c r="F55" s="134">
        <v>3000</v>
      </c>
      <c r="G55" s="142">
        <f>F55</f>
        <v>3000</v>
      </c>
      <c r="H55" s="142"/>
      <c r="I55" s="248"/>
    </row>
    <row r="56" spans="1:9" ht="15.75">
      <c r="A56" s="103">
        <v>46</v>
      </c>
      <c r="B56" s="137" t="s">
        <v>196</v>
      </c>
      <c r="C56" s="134">
        <v>5000</v>
      </c>
      <c r="D56" s="142"/>
      <c r="E56" s="134">
        <v>5000</v>
      </c>
      <c r="F56" s="134">
        <v>2200</v>
      </c>
      <c r="G56" s="142">
        <v>2200</v>
      </c>
      <c r="H56" s="142"/>
      <c r="I56" s="248"/>
    </row>
    <row r="57" spans="1:9" ht="15.75">
      <c r="A57" s="103">
        <v>47</v>
      </c>
      <c r="B57" s="137" t="s">
        <v>213</v>
      </c>
      <c r="C57" s="134">
        <v>25000</v>
      </c>
      <c r="D57" s="142"/>
      <c r="E57" s="134">
        <v>25000</v>
      </c>
      <c r="F57" s="134">
        <v>0</v>
      </c>
      <c r="G57" s="142">
        <v>0</v>
      </c>
      <c r="H57" s="142"/>
      <c r="I57" s="248"/>
    </row>
    <row r="58" spans="1:9" ht="15.75">
      <c r="A58" s="103">
        <v>48</v>
      </c>
      <c r="B58" s="137" t="s">
        <v>214</v>
      </c>
      <c r="C58" s="134">
        <v>24000</v>
      </c>
      <c r="D58" s="142"/>
      <c r="E58" s="134">
        <v>24000</v>
      </c>
      <c r="F58" s="134">
        <v>0</v>
      </c>
      <c r="G58" s="142">
        <v>0</v>
      </c>
      <c r="H58" s="142"/>
      <c r="I58" s="248"/>
    </row>
    <row r="59" spans="1:9" ht="15.75">
      <c r="A59" s="103">
        <v>49</v>
      </c>
      <c r="B59" s="137" t="s">
        <v>215</v>
      </c>
      <c r="C59" s="134">
        <v>66220</v>
      </c>
      <c r="D59" s="142"/>
      <c r="E59" s="134">
        <v>66220</v>
      </c>
      <c r="F59" s="134">
        <v>0</v>
      </c>
      <c r="G59" s="142">
        <v>0</v>
      </c>
      <c r="H59" s="142"/>
      <c r="I59" s="248"/>
    </row>
    <row r="60" spans="1:9" ht="15.75">
      <c r="A60" s="103">
        <v>50</v>
      </c>
      <c r="B60" s="137" t="s">
        <v>216</v>
      </c>
      <c r="C60" s="134">
        <v>15000</v>
      </c>
      <c r="D60" s="142">
        <f t="shared" si="4"/>
        <v>900</v>
      </c>
      <c r="E60" s="134">
        <v>15900</v>
      </c>
      <c r="F60" s="134">
        <v>15900</v>
      </c>
      <c r="G60" s="142">
        <v>15900</v>
      </c>
      <c r="H60" s="142"/>
      <c r="I60" s="248"/>
    </row>
    <row r="61" spans="1:9" ht="15.75">
      <c r="A61" s="103">
        <v>51</v>
      </c>
      <c r="B61" s="137" t="s">
        <v>217</v>
      </c>
      <c r="C61" s="134">
        <v>50000</v>
      </c>
      <c r="D61" s="142">
        <f t="shared" si="4"/>
        <v>9500</v>
      </c>
      <c r="E61" s="134">
        <v>59500</v>
      </c>
      <c r="F61" s="134">
        <v>59400</v>
      </c>
      <c r="G61" s="142">
        <v>59400</v>
      </c>
      <c r="H61" s="142"/>
      <c r="I61" s="248"/>
    </row>
    <row r="62" spans="1:9" ht="15.75">
      <c r="A62" s="103">
        <v>52</v>
      </c>
      <c r="B62" s="137" t="s">
        <v>218</v>
      </c>
      <c r="C62" s="134">
        <v>7520</v>
      </c>
      <c r="D62" s="142"/>
      <c r="E62" s="134">
        <v>7520</v>
      </c>
      <c r="F62" s="134">
        <v>5500</v>
      </c>
      <c r="G62" s="142">
        <v>5500</v>
      </c>
      <c r="H62" s="142"/>
      <c r="I62" s="248"/>
    </row>
    <row r="63" spans="1:9" ht="31.5">
      <c r="A63" s="103">
        <v>53</v>
      </c>
      <c r="B63" s="137" t="s">
        <v>219</v>
      </c>
      <c r="C63" s="134">
        <v>35000</v>
      </c>
      <c r="D63" s="142"/>
      <c r="E63" s="134">
        <v>35000</v>
      </c>
      <c r="F63" s="134">
        <v>0</v>
      </c>
      <c r="G63" s="142">
        <v>0</v>
      </c>
      <c r="H63" s="142"/>
      <c r="I63" s="248"/>
    </row>
    <row r="64" spans="1:9" ht="31.5">
      <c r="A64" s="103">
        <v>54</v>
      </c>
      <c r="B64" s="138" t="s">
        <v>237</v>
      </c>
      <c r="C64" s="134">
        <v>7900</v>
      </c>
      <c r="D64" s="142">
        <f t="shared" si="4"/>
        <v>-900</v>
      </c>
      <c r="E64" s="134">
        <v>7000</v>
      </c>
      <c r="F64" s="134">
        <v>6500</v>
      </c>
      <c r="G64" s="142">
        <v>1580</v>
      </c>
      <c r="H64" s="142"/>
      <c r="I64" s="248"/>
    </row>
    <row r="65" spans="1:9" ht="31.5">
      <c r="A65" s="103">
        <v>55</v>
      </c>
      <c r="B65" s="138" t="s">
        <v>235</v>
      </c>
      <c r="C65" s="134">
        <v>260000</v>
      </c>
      <c r="D65" s="142"/>
      <c r="E65" s="134">
        <v>260000</v>
      </c>
      <c r="F65" s="134">
        <v>178000</v>
      </c>
      <c r="G65" s="142">
        <f>33446.84+54325.6</f>
        <v>87772.44</v>
      </c>
      <c r="H65" s="142"/>
      <c r="I65" s="248"/>
    </row>
    <row r="66" spans="1:9" ht="15.75">
      <c r="A66" s="103">
        <v>56</v>
      </c>
      <c r="B66" s="138" t="s">
        <v>137</v>
      </c>
      <c r="C66" s="134">
        <v>82000</v>
      </c>
      <c r="D66" s="142"/>
      <c r="E66" s="134">
        <v>82000</v>
      </c>
      <c r="F66" s="134">
        <v>78000</v>
      </c>
      <c r="G66" s="142">
        <f>51462.05+27300</f>
        <v>78762.05</v>
      </c>
      <c r="H66" s="142"/>
      <c r="I66" s="248"/>
    </row>
    <row r="67" spans="1:9" ht="15.75">
      <c r="A67" s="103">
        <v>57</v>
      </c>
      <c r="B67" s="138" t="s">
        <v>127</v>
      </c>
      <c r="C67" s="134">
        <v>10000</v>
      </c>
      <c r="D67" s="142"/>
      <c r="E67" s="134">
        <v>10000</v>
      </c>
      <c r="F67" s="135">
        <v>7000</v>
      </c>
      <c r="G67" s="142">
        <f>3960+2870</f>
        <v>6830</v>
      </c>
      <c r="H67" s="142"/>
      <c r="I67" s="248"/>
    </row>
    <row r="68" spans="1:9" ht="15.75">
      <c r="A68" s="103">
        <v>58</v>
      </c>
      <c r="B68" s="138" t="s">
        <v>150</v>
      </c>
      <c r="C68" s="134">
        <v>1200</v>
      </c>
      <c r="D68" s="142"/>
      <c r="E68" s="134">
        <v>1200</v>
      </c>
      <c r="F68" s="135">
        <v>860</v>
      </c>
      <c r="G68" s="142">
        <f>475+258</f>
        <v>733</v>
      </c>
      <c r="H68" s="142"/>
      <c r="I68" s="248"/>
    </row>
    <row r="69" spans="1:9" ht="15.75">
      <c r="A69" s="103">
        <v>59</v>
      </c>
      <c r="B69" s="137" t="s">
        <v>151</v>
      </c>
      <c r="C69" s="134">
        <v>1950</v>
      </c>
      <c r="D69" s="142"/>
      <c r="E69" s="134">
        <v>1950</v>
      </c>
      <c r="F69" s="135">
        <v>1950</v>
      </c>
      <c r="G69" s="142">
        <v>464.4</v>
      </c>
      <c r="H69" s="142"/>
      <c r="I69" s="248"/>
    </row>
    <row r="70" spans="1:9" ht="32.25" thickBot="1">
      <c r="A70" s="328">
        <v>60</v>
      </c>
      <c r="B70" s="329" t="s">
        <v>130</v>
      </c>
      <c r="C70" s="330">
        <v>72000</v>
      </c>
      <c r="D70" s="316"/>
      <c r="E70" s="330">
        <v>72000</v>
      </c>
      <c r="F70" s="330">
        <v>0</v>
      </c>
      <c r="G70" s="316">
        <v>6193.11</v>
      </c>
      <c r="H70" s="316"/>
      <c r="I70" s="317"/>
    </row>
    <row r="71" spans="1:9" ht="47.25">
      <c r="A71" s="331">
        <v>61</v>
      </c>
      <c r="B71" s="332" t="s">
        <v>201</v>
      </c>
      <c r="C71" s="326">
        <v>10500</v>
      </c>
      <c r="D71" s="320"/>
      <c r="E71" s="326">
        <v>10500</v>
      </c>
      <c r="F71" s="326">
        <v>0</v>
      </c>
      <c r="G71" s="320">
        <v>0</v>
      </c>
      <c r="H71" s="320"/>
      <c r="I71" s="321"/>
    </row>
    <row r="72" spans="1:9" ht="15.75">
      <c r="A72" s="103">
        <v>62</v>
      </c>
      <c r="B72" s="137" t="s">
        <v>198</v>
      </c>
      <c r="C72" s="134">
        <v>3600</v>
      </c>
      <c r="D72" s="142"/>
      <c r="E72" s="134">
        <v>3600</v>
      </c>
      <c r="F72" s="135">
        <f>50*72</f>
        <v>3600</v>
      </c>
      <c r="G72" s="142">
        <f>1050+1360</f>
        <v>2410</v>
      </c>
      <c r="H72" s="142"/>
      <c r="I72" s="248"/>
    </row>
    <row r="73" spans="1:9" ht="15.75">
      <c r="A73" s="103">
        <v>63</v>
      </c>
      <c r="B73" s="138" t="s">
        <v>149</v>
      </c>
      <c r="C73" s="134">
        <v>1200</v>
      </c>
      <c r="D73" s="142"/>
      <c r="E73" s="134">
        <v>1200</v>
      </c>
      <c r="F73" s="135">
        <v>1200</v>
      </c>
      <c r="G73" s="142">
        <v>60</v>
      </c>
      <c r="H73" s="142"/>
      <c r="I73" s="248"/>
    </row>
    <row r="74" spans="1:9" ht="15.75">
      <c r="A74" s="103">
        <v>64</v>
      </c>
      <c r="B74" s="137" t="s">
        <v>203</v>
      </c>
      <c r="C74" s="134">
        <v>8900</v>
      </c>
      <c r="D74" s="142"/>
      <c r="E74" s="134">
        <v>8900</v>
      </c>
      <c r="F74" s="135">
        <v>8000</v>
      </c>
      <c r="G74" s="142">
        <f>660+416</f>
        <v>1076</v>
      </c>
      <c r="H74" s="142"/>
      <c r="I74" s="248"/>
    </row>
    <row r="75" spans="1:9" ht="15.75">
      <c r="A75" s="103">
        <v>65</v>
      </c>
      <c r="B75" s="137" t="s">
        <v>204</v>
      </c>
      <c r="C75" s="134">
        <v>19000</v>
      </c>
      <c r="D75" s="142"/>
      <c r="E75" s="134">
        <v>19000</v>
      </c>
      <c r="F75" s="135">
        <v>15000</v>
      </c>
      <c r="G75" s="142">
        <f>712.5+1785+825</f>
        <v>3322.5</v>
      </c>
      <c r="H75" s="142"/>
      <c r="I75" s="248"/>
    </row>
    <row r="76" spans="1:9" ht="15.75">
      <c r="A76" s="103">
        <v>66</v>
      </c>
      <c r="B76" s="137" t="s">
        <v>205</v>
      </c>
      <c r="C76" s="134">
        <v>9750</v>
      </c>
      <c r="D76" s="142"/>
      <c r="E76" s="134">
        <v>9750</v>
      </c>
      <c r="F76" s="135">
        <v>9750</v>
      </c>
      <c r="G76" s="142">
        <f>3575+6175</f>
        <v>9750</v>
      </c>
      <c r="H76" s="142"/>
      <c r="I76" s="248"/>
    </row>
    <row r="77" spans="1:9" ht="15.75">
      <c r="A77" s="103">
        <v>67</v>
      </c>
      <c r="B77" s="138" t="s">
        <v>206</v>
      </c>
      <c r="C77" s="134">
        <v>9750</v>
      </c>
      <c r="D77" s="142"/>
      <c r="E77" s="134">
        <v>9750</v>
      </c>
      <c r="F77" s="135">
        <v>9750</v>
      </c>
      <c r="G77" s="142">
        <f>975+6510</f>
        <v>7485</v>
      </c>
      <c r="H77" s="142"/>
      <c r="I77" s="248"/>
    </row>
    <row r="78" spans="1:9" ht="31.5">
      <c r="A78" s="103">
        <v>68</v>
      </c>
      <c r="B78" s="138" t="s">
        <v>148</v>
      </c>
      <c r="C78" s="134">
        <v>4000</v>
      </c>
      <c r="D78" s="142"/>
      <c r="E78" s="134">
        <v>4000</v>
      </c>
      <c r="F78" s="135">
        <f>100*25</f>
        <v>2500</v>
      </c>
      <c r="G78" s="142">
        <v>455.58</v>
      </c>
      <c r="H78" s="142"/>
      <c r="I78" s="248"/>
    </row>
    <row r="79" spans="1:9" ht="15.75">
      <c r="A79" s="103">
        <v>69</v>
      </c>
      <c r="B79" s="138" t="s">
        <v>207</v>
      </c>
      <c r="C79" s="134">
        <v>13500</v>
      </c>
      <c r="D79" s="142"/>
      <c r="E79" s="134">
        <v>13500</v>
      </c>
      <c r="F79" s="135">
        <v>13000</v>
      </c>
      <c r="G79" s="142">
        <f>4926.4+125</f>
        <v>5051.3999999999996</v>
      </c>
      <c r="H79" s="142"/>
      <c r="I79" s="248"/>
    </row>
    <row r="80" spans="1:9" ht="15.75">
      <c r="A80" s="103">
        <v>70</v>
      </c>
      <c r="B80" s="138" t="s">
        <v>131</v>
      </c>
      <c r="C80" s="134">
        <v>16600</v>
      </c>
      <c r="D80" s="142"/>
      <c r="E80" s="134">
        <v>16600</v>
      </c>
      <c r="F80" s="135">
        <v>16600</v>
      </c>
      <c r="G80" s="142">
        <f>664+555</f>
        <v>1219</v>
      </c>
      <c r="H80" s="142"/>
      <c r="I80" s="248"/>
    </row>
    <row r="81" spans="1:9" ht="15.75">
      <c r="A81" s="103">
        <v>71</v>
      </c>
      <c r="B81" s="138" t="s">
        <v>132</v>
      </c>
      <c r="C81" s="134">
        <v>20000</v>
      </c>
      <c r="D81" s="142"/>
      <c r="E81" s="134">
        <v>20000</v>
      </c>
      <c r="F81" s="135">
        <v>19000</v>
      </c>
      <c r="G81" s="142">
        <f>3372.95+960+408.62+495+1480+510</f>
        <v>7226.57</v>
      </c>
      <c r="H81" s="142"/>
      <c r="I81" s="248"/>
    </row>
    <row r="82" spans="1:9" ht="15.75">
      <c r="A82" s="103">
        <v>72</v>
      </c>
      <c r="B82" s="137" t="s">
        <v>211</v>
      </c>
      <c r="C82" s="134">
        <v>3500</v>
      </c>
      <c r="D82" s="142"/>
      <c r="E82" s="134">
        <v>3500</v>
      </c>
      <c r="F82" s="135">
        <v>3400</v>
      </c>
      <c r="G82" s="142">
        <v>471.13</v>
      </c>
      <c r="H82" s="142"/>
      <c r="I82" s="248"/>
    </row>
    <row r="83" spans="1:9" ht="15.75">
      <c r="A83" s="103">
        <v>73</v>
      </c>
      <c r="B83" s="138" t="s">
        <v>152</v>
      </c>
      <c r="C83" s="134">
        <v>7000</v>
      </c>
      <c r="D83" s="142"/>
      <c r="E83" s="134">
        <v>7000</v>
      </c>
      <c r="F83" s="135">
        <v>5200</v>
      </c>
      <c r="G83" s="142">
        <v>3900</v>
      </c>
      <c r="H83" s="142"/>
      <c r="I83" s="248"/>
    </row>
    <row r="84" spans="1:9" ht="47.25">
      <c r="A84" s="103">
        <v>74</v>
      </c>
      <c r="B84" s="138" t="s">
        <v>208</v>
      </c>
      <c r="C84" s="134">
        <v>4000</v>
      </c>
      <c r="D84" s="142"/>
      <c r="E84" s="134">
        <v>4000</v>
      </c>
      <c r="F84" s="134">
        <v>2700</v>
      </c>
      <c r="G84" s="142">
        <f>405+5880</f>
        <v>6285</v>
      </c>
      <c r="H84" s="142"/>
      <c r="I84" s="248"/>
    </row>
    <row r="85" spans="1:9" ht="15.75">
      <c r="A85" s="103">
        <v>75</v>
      </c>
      <c r="B85" s="137" t="s">
        <v>133</v>
      </c>
      <c r="C85" s="134">
        <v>520</v>
      </c>
      <c r="D85" s="134"/>
      <c r="E85" s="134">
        <v>520</v>
      </c>
      <c r="F85" s="135">
        <v>520</v>
      </c>
      <c r="G85" s="142">
        <v>210</v>
      </c>
      <c r="H85" s="142"/>
      <c r="I85" s="248"/>
    </row>
    <row r="86" spans="1:9" ht="15.75">
      <c r="A86" s="103">
        <v>76</v>
      </c>
      <c r="B86" s="137" t="s">
        <v>212</v>
      </c>
      <c r="C86" s="134">
        <v>2100</v>
      </c>
      <c r="D86" s="134"/>
      <c r="E86" s="134">
        <v>2100</v>
      </c>
      <c r="F86" s="135">
        <v>2100</v>
      </c>
      <c r="G86" s="142">
        <f>828.75+210</f>
        <v>1038.75</v>
      </c>
      <c r="H86" s="142"/>
      <c r="I86" s="248"/>
    </row>
    <row r="87" spans="1:9" ht="15.75">
      <c r="A87" s="103">
        <v>77</v>
      </c>
      <c r="B87" s="137" t="s">
        <v>134</v>
      </c>
      <c r="C87" s="134">
        <v>6000</v>
      </c>
      <c r="D87" s="134"/>
      <c r="E87" s="134">
        <v>6000</v>
      </c>
      <c r="F87" s="135">
        <v>5200</v>
      </c>
      <c r="G87" s="142">
        <f>2100+1300</f>
        <v>3400</v>
      </c>
      <c r="H87" s="142"/>
      <c r="I87" s="248"/>
    </row>
    <row r="88" spans="1:9" ht="31.5">
      <c r="A88" s="103">
        <v>78</v>
      </c>
      <c r="B88" s="137" t="s">
        <v>209</v>
      </c>
      <c r="C88" s="134">
        <v>8500</v>
      </c>
      <c r="D88" s="134"/>
      <c r="E88" s="134">
        <v>8500</v>
      </c>
      <c r="F88" s="135">
        <v>8500</v>
      </c>
      <c r="G88" s="142">
        <f>510+2938</f>
        <v>3448</v>
      </c>
      <c r="H88" s="142"/>
      <c r="I88" s="248"/>
    </row>
    <row r="89" spans="1:9" ht="15.75">
      <c r="A89" s="103">
        <v>79</v>
      </c>
      <c r="B89" s="137" t="s">
        <v>210</v>
      </c>
      <c r="C89" s="134">
        <v>2600</v>
      </c>
      <c r="D89" s="134"/>
      <c r="E89" s="134">
        <v>2600</v>
      </c>
      <c r="F89" s="135">
        <v>2200</v>
      </c>
      <c r="G89" s="142">
        <f>352+672.88</f>
        <v>1024.8800000000001</v>
      </c>
      <c r="H89" s="142"/>
      <c r="I89" s="248"/>
    </row>
    <row r="90" spans="1:9" ht="15.75">
      <c r="A90" s="103">
        <v>80</v>
      </c>
      <c r="B90" s="137" t="s">
        <v>135</v>
      </c>
      <c r="C90" s="134">
        <v>200</v>
      </c>
      <c r="D90" s="134"/>
      <c r="E90" s="134">
        <v>200</v>
      </c>
      <c r="F90" s="135">
        <v>200</v>
      </c>
      <c r="G90" s="142">
        <v>329.48</v>
      </c>
      <c r="H90" s="142"/>
      <c r="I90" s="248"/>
    </row>
    <row r="91" spans="1:9" ht="15.75">
      <c r="A91" s="103">
        <v>81</v>
      </c>
      <c r="B91" s="137" t="s">
        <v>136</v>
      </c>
      <c r="C91" s="134">
        <v>750</v>
      </c>
      <c r="D91" s="134"/>
      <c r="E91" s="134">
        <v>750</v>
      </c>
      <c r="F91" s="135">
        <v>750</v>
      </c>
      <c r="G91" s="142"/>
      <c r="H91" s="142"/>
      <c r="I91" s="248"/>
    </row>
    <row r="92" spans="1:9" ht="31.5">
      <c r="A92" s="103">
        <v>66</v>
      </c>
      <c r="B92" s="138" t="s">
        <v>315</v>
      </c>
      <c r="C92" s="134"/>
      <c r="D92" s="142">
        <v>2800</v>
      </c>
      <c r="E92" s="134">
        <v>2800</v>
      </c>
      <c r="F92" s="134">
        <v>2800</v>
      </c>
      <c r="G92" s="142">
        <f>F92</f>
        <v>2800</v>
      </c>
      <c r="H92" s="142"/>
      <c r="I92" s="248"/>
    </row>
    <row r="93" spans="1:9" ht="31.5">
      <c r="A93" s="103">
        <v>68</v>
      </c>
      <c r="B93" s="138" t="s">
        <v>326</v>
      </c>
      <c r="C93" s="134"/>
      <c r="D93" s="134">
        <v>8000</v>
      </c>
      <c r="E93" s="134">
        <v>8000</v>
      </c>
      <c r="F93" s="142">
        <v>7500</v>
      </c>
      <c r="G93" s="142">
        <v>7500</v>
      </c>
      <c r="H93" s="142"/>
      <c r="I93" s="248"/>
    </row>
    <row r="94" spans="1:9" ht="15.75">
      <c r="A94" s="103">
        <v>69</v>
      </c>
      <c r="B94" s="138" t="s">
        <v>327</v>
      </c>
      <c r="C94" s="134"/>
      <c r="D94" s="134">
        <v>6600</v>
      </c>
      <c r="E94" s="134">
        <v>6600</v>
      </c>
      <c r="F94" s="135">
        <v>6540</v>
      </c>
      <c r="G94" s="142">
        <v>6540</v>
      </c>
      <c r="H94" s="142"/>
      <c r="I94" s="248"/>
    </row>
    <row r="95" spans="1:9" ht="31.5">
      <c r="A95" s="103">
        <v>70</v>
      </c>
      <c r="B95" s="138" t="s">
        <v>328</v>
      </c>
      <c r="C95" s="134"/>
      <c r="D95" s="134">
        <v>1000</v>
      </c>
      <c r="E95" s="134">
        <v>1000</v>
      </c>
      <c r="F95" s="135">
        <v>1000</v>
      </c>
      <c r="G95" s="142">
        <v>1000</v>
      </c>
      <c r="H95" s="142"/>
      <c r="I95" s="248"/>
    </row>
    <row r="96" spans="1:9" ht="15.75">
      <c r="A96" s="103">
        <v>71</v>
      </c>
      <c r="B96" s="138" t="s">
        <v>329</v>
      </c>
      <c r="C96" s="134"/>
      <c r="D96" s="134">
        <v>735.84</v>
      </c>
      <c r="E96" s="134">
        <v>735.84</v>
      </c>
      <c r="F96" s="135">
        <v>500</v>
      </c>
      <c r="G96" s="142">
        <v>500</v>
      </c>
      <c r="H96" s="142"/>
      <c r="I96" s="248"/>
    </row>
    <row r="97" spans="1:9" ht="32.25" thickBot="1">
      <c r="A97" s="328"/>
      <c r="B97" s="334" t="s">
        <v>393</v>
      </c>
      <c r="C97" s="330"/>
      <c r="D97" s="330"/>
      <c r="E97" s="330"/>
      <c r="F97" s="335"/>
      <c r="G97" s="316">
        <v>156</v>
      </c>
      <c r="H97" s="316"/>
      <c r="I97" s="317"/>
    </row>
    <row r="98" spans="1:9" ht="47.25">
      <c r="A98" s="331"/>
      <c r="B98" s="336" t="s">
        <v>394</v>
      </c>
      <c r="C98" s="326"/>
      <c r="D98" s="326"/>
      <c r="E98" s="326"/>
      <c r="F98" s="337"/>
      <c r="G98" s="320">
        <v>6454</v>
      </c>
      <c r="H98" s="320"/>
      <c r="I98" s="321"/>
    </row>
    <row r="99" spans="1:9" ht="31.5">
      <c r="A99" s="103"/>
      <c r="B99" s="138" t="s">
        <v>395</v>
      </c>
      <c r="C99" s="134"/>
      <c r="D99" s="134"/>
      <c r="E99" s="134"/>
      <c r="F99" s="135"/>
      <c r="G99" s="142">
        <v>4041</v>
      </c>
      <c r="H99" s="142"/>
      <c r="I99" s="248"/>
    </row>
    <row r="100" spans="1:9" ht="47.25">
      <c r="A100" s="103"/>
      <c r="B100" s="138" t="s">
        <v>396</v>
      </c>
      <c r="C100" s="134"/>
      <c r="D100" s="134"/>
      <c r="E100" s="134"/>
      <c r="F100" s="135"/>
      <c r="G100" s="142">
        <v>9500</v>
      </c>
      <c r="H100" s="142"/>
      <c r="I100" s="248"/>
    </row>
    <row r="101" spans="1:9" ht="31.5">
      <c r="A101" s="103"/>
      <c r="B101" s="138" t="s">
        <v>397</v>
      </c>
      <c r="C101" s="134"/>
      <c r="D101" s="134"/>
      <c r="E101" s="134"/>
      <c r="F101" s="135"/>
      <c r="G101" s="142">
        <f>100+275+90+168+28+150+65+98+3320+520+900+65+50+540+169+280+1400</f>
        <v>8218</v>
      </c>
      <c r="H101" s="142"/>
      <c r="I101" s="248"/>
    </row>
    <row r="102" spans="1:9" ht="15.75">
      <c r="A102" s="103"/>
      <c r="B102" s="138" t="s">
        <v>398</v>
      </c>
      <c r="C102" s="134"/>
      <c r="D102" s="134"/>
      <c r="E102" s="134"/>
      <c r="F102" s="135"/>
      <c r="G102" s="142">
        <v>166.62</v>
      </c>
      <c r="H102" s="142"/>
      <c r="I102" s="248"/>
    </row>
    <row r="103" spans="1:9" ht="15.75">
      <c r="A103" s="103"/>
      <c r="B103" s="138" t="s">
        <v>399</v>
      </c>
      <c r="C103" s="134"/>
      <c r="D103" s="134"/>
      <c r="E103" s="134"/>
      <c r="F103" s="135"/>
      <c r="G103" s="142">
        <v>3825</v>
      </c>
      <c r="H103" s="142"/>
      <c r="I103" s="248"/>
    </row>
    <row r="104" spans="1:9" ht="15.75">
      <c r="A104" s="103"/>
      <c r="B104" s="138" t="s">
        <v>400</v>
      </c>
      <c r="C104" s="134"/>
      <c r="D104" s="134"/>
      <c r="E104" s="134"/>
      <c r="F104" s="135"/>
      <c r="G104" s="142">
        <v>3825</v>
      </c>
      <c r="H104" s="142"/>
      <c r="I104" s="248"/>
    </row>
    <row r="105" spans="1:9" ht="31.5">
      <c r="A105" s="103"/>
      <c r="B105" s="138" t="s">
        <v>401</v>
      </c>
      <c r="C105" s="134"/>
      <c r="D105" s="134"/>
      <c r="E105" s="134"/>
      <c r="F105" s="135"/>
      <c r="G105" s="142">
        <v>2567</v>
      </c>
      <c r="H105" s="142"/>
      <c r="I105" s="248"/>
    </row>
    <row r="106" spans="1:9" ht="31.5">
      <c r="A106" s="103"/>
      <c r="B106" s="138" t="s">
        <v>402</v>
      </c>
      <c r="C106" s="134"/>
      <c r="D106" s="134"/>
      <c r="E106" s="134"/>
      <c r="F106" s="135"/>
      <c r="G106" s="142">
        <v>1800</v>
      </c>
      <c r="H106" s="142"/>
      <c r="I106" s="248"/>
    </row>
    <row r="107" spans="1:9" ht="31.5">
      <c r="A107" s="103"/>
      <c r="B107" s="138" t="s">
        <v>403</v>
      </c>
      <c r="C107" s="134"/>
      <c r="D107" s="134"/>
      <c r="E107" s="134"/>
      <c r="F107" s="135"/>
      <c r="G107" s="142">
        <v>2316</v>
      </c>
      <c r="H107" s="142"/>
      <c r="I107" s="248"/>
    </row>
    <row r="108" spans="1:9" ht="31.5">
      <c r="A108" s="103"/>
      <c r="B108" s="138" t="s">
        <v>404</v>
      </c>
      <c r="C108" s="134"/>
      <c r="D108" s="134"/>
      <c r="E108" s="134"/>
      <c r="F108" s="135"/>
      <c r="G108" s="142">
        <v>3500</v>
      </c>
      <c r="H108" s="142"/>
      <c r="I108" s="248"/>
    </row>
    <row r="109" spans="1:9" ht="47.25">
      <c r="A109" s="103"/>
      <c r="B109" s="138" t="s">
        <v>405</v>
      </c>
      <c r="C109" s="134"/>
      <c r="D109" s="134"/>
      <c r="E109" s="134"/>
      <c r="F109" s="135"/>
      <c r="G109" s="142">
        <v>2680</v>
      </c>
      <c r="H109" s="142"/>
      <c r="I109" s="248"/>
    </row>
    <row r="110" spans="1:9" ht="15.75">
      <c r="A110" s="103"/>
      <c r="B110" s="138" t="s">
        <v>406</v>
      </c>
      <c r="C110" s="134"/>
      <c r="D110" s="134"/>
      <c r="E110" s="134"/>
      <c r="F110" s="135"/>
      <c r="G110" s="142">
        <v>4735.91</v>
      </c>
      <c r="H110" s="142"/>
      <c r="I110" s="248"/>
    </row>
    <row r="111" spans="1:9" ht="15.75">
      <c r="A111" s="103"/>
      <c r="B111" s="138" t="s">
        <v>407</v>
      </c>
      <c r="C111" s="134"/>
      <c r="D111" s="134"/>
      <c r="E111" s="134"/>
      <c r="F111" s="135"/>
      <c r="G111" s="142">
        <v>1980</v>
      </c>
      <c r="H111" s="142"/>
      <c r="I111" s="248"/>
    </row>
    <row r="112" spans="1:9" ht="15.75">
      <c r="A112" s="103"/>
      <c r="B112" s="138" t="s">
        <v>408</v>
      </c>
      <c r="C112" s="134"/>
      <c r="D112" s="134"/>
      <c r="E112" s="134"/>
      <c r="F112" s="135"/>
      <c r="G112" s="142">
        <v>3184</v>
      </c>
      <c r="H112" s="142"/>
      <c r="I112" s="248"/>
    </row>
    <row r="113" spans="1:9" ht="47.25">
      <c r="A113" s="103"/>
      <c r="B113" s="138" t="s">
        <v>409</v>
      </c>
      <c r="C113" s="134"/>
      <c r="D113" s="134"/>
      <c r="E113" s="134"/>
      <c r="F113" s="135"/>
      <c r="G113" s="142">
        <v>11222</v>
      </c>
      <c r="H113" s="142"/>
      <c r="I113" s="248"/>
    </row>
    <row r="114" spans="1:9" ht="15.75">
      <c r="A114" s="103"/>
      <c r="B114" s="138" t="s">
        <v>410</v>
      </c>
      <c r="C114" s="134"/>
      <c r="D114" s="134"/>
      <c r="E114" s="134"/>
      <c r="F114" s="135"/>
      <c r="G114" s="142">
        <v>930</v>
      </c>
      <c r="H114" s="142"/>
      <c r="I114" s="248"/>
    </row>
    <row r="115" spans="1:9" ht="15.75">
      <c r="A115" s="103"/>
      <c r="B115" s="138" t="s">
        <v>411</v>
      </c>
      <c r="C115" s="134"/>
      <c r="D115" s="134"/>
      <c r="E115" s="134"/>
      <c r="F115" s="135"/>
      <c r="G115" s="142">
        <v>21550</v>
      </c>
      <c r="H115" s="142"/>
      <c r="I115" s="248"/>
    </row>
    <row r="116" spans="1:9" ht="31.5">
      <c r="A116" s="103"/>
      <c r="B116" s="138" t="s">
        <v>412</v>
      </c>
      <c r="C116" s="134"/>
      <c r="D116" s="134"/>
      <c r="E116" s="134"/>
      <c r="F116" s="135"/>
      <c r="G116" s="142">
        <v>1250</v>
      </c>
      <c r="H116" s="142"/>
      <c r="I116" s="248"/>
    </row>
    <row r="117" spans="1:9" ht="31.5">
      <c r="A117" s="103"/>
      <c r="B117" s="138" t="s">
        <v>413</v>
      </c>
      <c r="C117" s="134"/>
      <c r="D117" s="134"/>
      <c r="E117" s="134"/>
      <c r="F117" s="135"/>
      <c r="G117" s="142">
        <v>1250</v>
      </c>
      <c r="H117" s="142"/>
      <c r="I117" s="248"/>
    </row>
    <row r="118" spans="1:9" ht="15.75">
      <c r="A118" s="103"/>
      <c r="B118" s="138" t="s">
        <v>414</v>
      </c>
      <c r="C118" s="134"/>
      <c r="D118" s="134"/>
      <c r="E118" s="134"/>
      <c r="F118" s="135"/>
      <c r="G118" s="142">
        <v>278</v>
      </c>
      <c r="H118" s="142"/>
      <c r="I118" s="248"/>
    </row>
    <row r="119" spans="1:9" ht="16.5" thickBot="1">
      <c r="A119" s="328"/>
      <c r="B119" s="334" t="s">
        <v>415</v>
      </c>
      <c r="C119" s="330"/>
      <c r="D119" s="330"/>
      <c r="E119" s="330"/>
      <c r="F119" s="335"/>
      <c r="G119" s="316">
        <v>630</v>
      </c>
      <c r="H119" s="316"/>
      <c r="I119" s="317"/>
    </row>
    <row r="120" spans="1:9" ht="15.75">
      <c r="A120" s="331"/>
      <c r="B120" s="336" t="s">
        <v>416</v>
      </c>
      <c r="C120" s="326"/>
      <c r="D120" s="326"/>
      <c r="E120" s="326"/>
      <c r="F120" s="337"/>
      <c r="G120" s="320">
        <v>196.14</v>
      </c>
      <c r="H120" s="320"/>
      <c r="I120" s="321"/>
    </row>
    <row r="121" spans="1:9" ht="31.5">
      <c r="A121" s="103"/>
      <c r="B121" s="138" t="s">
        <v>417</v>
      </c>
      <c r="C121" s="134"/>
      <c r="D121" s="134"/>
      <c r="E121" s="134"/>
      <c r="F121" s="135"/>
      <c r="G121" s="142">
        <v>4930.3100000000004</v>
      </c>
      <c r="H121" s="142"/>
      <c r="I121" s="248"/>
    </row>
    <row r="122" spans="1:9" ht="15.75">
      <c r="A122" s="103"/>
      <c r="B122" s="138" t="s">
        <v>418</v>
      </c>
      <c r="C122" s="134"/>
      <c r="D122" s="134"/>
      <c r="E122" s="134"/>
      <c r="F122" s="135"/>
      <c r="G122" s="142">
        <v>1347.88</v>
      </c>
      <c r="H122" s="142"/>
      <c r="I122" s="248"/>
    </row>
    <row r="123" spans="1:9" ht="31.5">
      <c r="A123" s="103"/>
      <c r="B123" s="138" t="s">
        <v>419</v>
      </c>
      <c r="C123" s="134"/>
      <c r="D123" s="134"/>
      <c r="E123" s="134"/>
      <c r="F123" s="135"/>
      <c r="G123" s="142">
        <v>1768</v>
      </c>
      <c r="H123" s="142"/>
      <c r="I123" s="248"/>
    </row>
    <row r="124" spans="1:9" ht="15.75">
      <c r="A124" s="103"/>
      <c r="B124" s="138" t="s">
        <v>420</v>
      </c>
      <c r="C124" s="134"/>
      <c r="D124" s="134"/>
      <c r="E124" s="134"/>
      <c r="F124" s="135"/>
      <c r="G124" s="142">
        <v>476.43</v>
      </c>
      <c r="H124" s="142"/>
      <c r="I124" s="248"/>
    </row>
    <row r="125" spans="1:9" ht="31.5">
      <c r="A125" s="103"/>
      <c r="B125" s="138" t="s">
        <v>421</v>
      </c>
      <c r="C125" s="134"/>
      <c r="D125" s="134"/>
      <c r="E125" s="134"/>
      <c r="F125" s="135"/>
      <c r="G125" s="142">
        <v>4095</v>
      </c>
      <c r="H125" s="142"/>
      <c r="I125" s="248"/>
    </row>
    <row r="126" spans="1:9" ht="31.5">
      <c r="A126" s="103"/>
      <c r="B126" s="138" t="s">
        <v>422</v>
      </c>
      <c r="C126" s="134"/>
      <c r="D126" s="134"/>
      <c r="E126" s="134"/>
      <c r="F126" s="135"/>
      <c r="G126" s="142">
        <v>22700</v>
      </c>
      <c r="H126" s="142"/>
      <c r="I126" s="248"/>
    </row>
    <row r="127" spans="1:9" ht="15.75">
      <c r="A127" s="103"/>
      <c r="B127" s="138" t="s">
        <v>423</v>
      </c>
      <c r="C127" s="134"/>
      <c r="D127" s="134"/>
      <c r="E127" s="134"/>
      <c r="F127" s="135"/>
      <c r="G127" s="142">
        <v>348</v>
      </c>
      <c r="H127" s="142"/>
      <c r="I127" s="248"/>
    </row>
    <row r="128" spans="1:9" ht="31.5">
      <c r="A128" s="103"/>
      <c r="B128" s="138" t="s">
        <v>424</v>
      </c>
      <c r="C128" s="134"/>
      <c r="D128" s="134"/>
      <c r="E128" s="134"/>
      <c r="F128" s="135"/>
      <c r="G128" s="142">
        <v>1692.53</v>
      </c>
      <c r="H128" s="142"/>
      <c r="I128" s="248"/>
    </row>
    <row r="129" spans="1:9" ht="15.75">
      <c r="A129" s="103"/>
      <c r="B129" s="138" t="s">
        <v>425</v>
      </c>
      <c r="C129" s="134"/>
      <c r="D129" s="134"/>
      <c r="E129" s="134"/>
      <c r="F129" s="135"/>
      <c r="G129" s="142">
        <v>4287.8100000000004</v>
      </c>
      <c r="H129" s="142"/>
      <c r="I129" s="248"/>
    </row>
    <row r="130" spans="1:9" ht="31.5">
      <c r="A130" s="103"/>
      <c r="B130" s="138" t="s">
        <v>426</v>
      </c>
      <c r="C130" s="134"/>
      <c r="D130" s="134"/>
      <c r="E130" s="134"/>
      <c r="F130" s="135"/>
      <c r="G130" s="142">
        <v>6954.55</v>
      </c>
      <c r="H130" s="142"/>
      <c r="I130" s="248"/>
    </row>
    <row r="131" spans="1:9" ht="31.5">
      <c r="A131" s="103"/>
      <c r="B131" s="138" t="s">
        <v>427</v>
      </c>
      <c r="C131" s="134"/>
      <c r="D131" s="134"/>
      <c r="E131" s="134"/>
      <c r="F131" s="135"/>
      <c r="G131" s="142">
        <v>5700</v>
      </c>
      <c r="H131" s="142"/>
      <c r="I131" s="248"/>
    </row>
    <row r="132" spans="1:9" ht="15.75">
      <c r="A132" s="103"/>
      <c r="B132" s="138" t="s">
        <v>428</v>
      </c>
      <c r="C132" s="134"/>
      <c r="D132" s="134"/>
      <c r="E132" s="134"/>
      <c r="F132" s="135"/>
      <c r="G132" s="142">
        <v>510</v>
      </c>
      <c r="H132" s="142"/>
      <c r="I132" s="248"/>
    </row>
    <row r="133" spans="1:9" ht="32.25" thickBot="1">
      <c r="A133" s="103"/>
      <c r="B133" s="138" t="s">
        <v>429</v>
      </c>
      <c r="C133" s="134"/>
      <c r="D133" s="134"/>
      <c r="E133" s="134"/>
      <c r="F133" s="135"/>
      <c r="G133" s="142">
        <v>2822</v>
      </c>
      <c r="H133" s="142"/>
      <c r="I133" s="248"/>
    </row>
    <row r="134" spans="1:9" ht="32.25" thickBot="1">
      <c r="A134" s="241"/>
      <c r="B134" s="242" t="s">
        <v>379</v>
      </c>
      <c r="C134" s="243">
        <f>SUM(C36:C133)-15668.64</f>
        <v>2287459.8800000004</v>
      </c>
      <c r="D134" s="281">
        <f>SUM(D36:D96)</f>
        <v>-69999.999999999985</v>
      </c>
      <c r="E134" s="243">
        <f>SUM(E36:E133)-16000</f>
        <v>2217128.5199999996</v>
      </c>
      <c r="F134" s="243">
        <f>SUM(F36:F133)</f>
        <v>1787591</v>
      </c>
      <c r="G134" s="243">
        <f>SUM(G36:G133)-5669.77</f>
        <v>1122996.4499999997</v>
      </c>
      <c r="H134" s="243">
        <f>E134</f>
        <v>2217128.5199999996</v>
      </c>
      <c r="I134" s="244">
        <f>SUM(I36:I133)</f>
        <v>0</v>
      </c>
    </row>
    <row r="135" spans="1:9" ht="31.5">
      <c r="A135" s="268">
        <v>82</v>
      </c>
      <c r="B135" s="136" t="s">
        <v>220</v>
      </c>
      <c r="C135" s="134">
        <v>120000</v>
      </c>
      <c r="D135" s="134"/>
      <c r="E135" s="134">
        <v>120000</v>
      </c>
      <c r="F135" s="134">
        <v>45000</v>
      </c>
      <c r="G135" s="134">
        <f>F135</f>
        <v>45000</v>
      </c>
      <c r="H135" s="267">
        <f>G135</f>
        <v>45000</v>
      </c>
      <c r="I135" s="256">
        <f>E135-H135</f>
        <v>75000</v>
      </c>
    </row>
    <row r="136" spans="1:9" ht="31.5">
      <c r="A136" s="268">
        <v>83</v>
      </c>
      <c r="B136" s="136" t="s">
        <v>221</v>
      </c>
      <c r="C136" s="134">
        <v>126240</v>
      </c>
      <c r="D136" s="134">
        <v>-2300</v>
      </c>
      <c r="E136" s="134">
        <f>C136+D136</f>
        <v>123940</v>
      </c>
      <c r="F136" s="134">
        <v>55000</v>
      </c>
      <c r="G136" s="134">
        <f>F136</f>
        <v>55000</v>
      </c>
      <c r="H136" s="134">
        <f>G136</f>
        <v>55000</v>
      </c>
      <c r="I136" s="256">
        <f>E136-H136</f>
        <v>68940</v>
      </c>
    </row>
    <row r="137" spans="1:9" ht="31.5">
      <c r="A137" s="268">
        <v>84</v>
      </c>
      <c r="B137" s="136" t="s">
        <v>56</v>
      </c>
      <c r="C137" s="134">
        <v>386600</v>
      </c>
      <c r="D137" s="134">
        <v>-130000</v>
      </c>
      <c r="E137" s="134">
        <f>C137+D137</f>
        <v>256600</v>
      </c>
      <c r="F137" s="134"/>
      <c r="G137" s="134"/>
      <c r="H137" s="134">
        <v>200000</v>
      </c>
      <c r="I137" s="256">
        <f>E137-H137</f>
        <v>56600</v>
      </c>
    </row>
    <row r="138" spans="1:9" ht="31.5">
      <c r="A138" s="268">
        <v>85</v>
      </c>
      <c r="B138" s="136" t="s">
        <v>58</v>
      </c>
      <c r="C138" s="134">
        <v>157700</v>
      </c>
      <c r="D138" s="134">
        <v>132300</v>
      </c>
      <c r="E138" s="134">
        <f>C138+D138</f>
        <v>290000</v>
      </c>
      <c r="F138" s="134">
        <v>290000</v>
      </c>
      <c r="G138" s="134">
        <f>F138</f>
        <v>290000</v>
      </c>
      <c r="H138" s="134">
        <f>G138</f>
        <v>290000</v>
      </c>
      <c r="I138" s="256">
        <f>E138-H138</f>
        <v>0</v>
      </c>
    </row>
    <row r="139" spans="1:9" ht="32.25" thickBot="1">
      <c r="A139" s="338">
        <v>86</v>
      </c>
      <c r="B139" s="339" t="s">
        <v>59</v>
      </c>
      <c r="C139" s="330">
        <v>108000</v>
      </c>
      <c r="D139" s="330"/>
      <c r="E139" s="330">
        <v>108000</v>
      </c>
      <c r="F139" s="330">
        <v>0</v>
      </c>
      <c r="G139" s="330"/>
      <c r="H139" s="54"/>
      <c r="I139" s="340">
        <f>E139</f>
        <v>108000</v>
      </c>
    </row>
    <row r="140" spans="1:9" ht="78.75">
      <c r="A140" s="342">
        <v>87</v>
      </c>
      <c r="B140" s="343" t="s">
        <v>60</v>
      </c>
      <c r="C140" s="326">
        <v>158400</v>
      </c>
      <c r="D140" s="326"/>
      <c r="E140" s="326">
        <v>158400</v>
      </c>
      <c r="F140" s="326">
        <v>0</v>
      </c>
      <c r="G140" s="326"/>
      <c r="H140" s="344"/>
      <c r="I140" s="345"/>
    </row>
    <row r="141" spans="1:9" ht="110.25">
      <c r="A141" s="268">
        <v>88</v>
      </c>
      <c r="B141" s="139" t="s">
        <v>61</v>
      </c>
      <c r="C141" s="134">
        <f>220982.142857143*1.12</f>
        <v>247500.00000000017</v>
      </c>
      <c r="D141" s="134"/>
      <c r="E141" s="134">
        <f>C141</f>
        <v>247500.00000000017</v>
      </c>
      <c r="F141" s="134">
        <v>0</v>
      </c>
      <c r="G141" s="134"/>
      <c r="H141" s="111"/>
      <c r="I141" s="257"/>
    </row>
    <row r="142" spans="1:9" ht="47.25">
      <c r="A142" s="268">
        <v>89</v>
      </c>
      <c r="B142" s="136" t="s">
        <v>342</v>
      </c>
      <c r="C142" s="134">
        <v>100000</v>
      </c>
      <c r="D142" s="134"/>
      <c r="E142" s="134">
        <v>100000</v>
      </c>
      <c r="F142" s="134">
        <v>90000</v>
      </c>
      <c r="G142" s="134">
        <f>F142</f>
        <v>90000</v>
      </c>
      <c r="H142" s="134">
        <f>G142</f>
        <v>90000</v>
      </c>
      <c r="I142" s="256">
        <f>E142-H142</f>
        <v>10000</v>
      </c>
    </row>
    <row r="143" spans="1:9" ht="31.5">
      <c r="A143" s="268">
        <v>90</v>
      </c>
      <c r="B143" s="136" t="s">
        <v>63</v>
      </c>
      <c r="C143" s="134">
        <f>260357.142857143*1.12</f>
        <v>291600.00000000017</v>
      </c>
      <c r="D143" s="134"/>
      <c r="E143" s="134"/>
      <c r="F143" s="134"/>
      <c r="G143" s="134"/>
      <c r="H143" s="134"/>
      <c r="I143" s="256"/>
    </row>
    <row r="144" spans="1:9" ht="31.5">
      <c r="A144" s="268">
        <v>91</v>
      </c>
      <c r="B144" s="136" t="s">
        <v>192</v>
      </c>
      <c r="C144" s="134">
        <f>390535.714285714*1.12</f>
        <v>437399.99999999977</v>
      </c>
      <c r="D144" s="134"/>
      <c r="E144" s="134"/>
      <c r="F144" s="134"/>
      <c r="G144" s="134"/>
      <c r="H144" s="134"/>
      <c r="I144" s="256"/>
    </row>
    <row r="145" spans="1:9" ht="32.25" thickBot="1">
      <c r="A145" s="268"/>
      <c r="B145" s="136" t="s">
        <v>336</v>
      </c>
      <c r="C145" s="134"/>
      <c r="D145" s="134"/>
      <c r="E145" s="134">
        <f>(260357.142857143+390535.71)*1.12</f>
        <v>728999.99520000024</v>
      </c>
      <c r="F145" s="134"/>
      <c r="G145" s="134"/>
      <c r="H145" s="134">
        <v>620000</v>
      </c>
      <c r="I145" s="256">
        <f>E145-H145</f>
        <v>108999.99520000024</v>
      </c>
    </row>
    <row r="146" spans="1:9" ht="32.25" thickBot="1">
      <c r="A146" s="241"/>
      <c r="B146" s="242" t="s">
        <v>384</v>
      </c>
      <c r="C146" s="243">
        <f t="shared" ref="C146:I146" si="5">SUM(C135:C145)</f>
        <v>2133440</v>
      </c>
      <c r="D146" s="243">
        <f t="shared" si="5"/>
        <v>0</v>
      </c>
      <c r="E146" s="243">
        <f t="shared" si="5"/>
        <v>2133439.9952000007</v>
      </c>
      <c r="F146" s="243">
        <f t="shared" si="5"/>
        <v>480000</v>
      </c>
      <c r="G146" s="243">
        <f t="shared" si="5"/>
        <v>480000</v>
      </c>
      <c r="H146" s="243">
        <f t="shared" si="5"/>
        <v>1300000</v>
      </c>
      <c r="I146" s="244">
        <f t="shared" si="5"/>
        <v>427539.99520000024</v>
      </c>
    </row>
    <row r="147" spans="1:9" ht="48" thickBot="1">
      <c r="A147" s="275">
        <v>92</v>
      </c>
      <c r="B147" s="136" t="s">
        <v>64</v>
      </c>
      <c r="C147" s="134">
        <v>3697507.5</v>
      </c>
      <c r="D147" s="134">
        <v>-2135907.5</v>
      </c>
      <c r="E147" s="134">
        <v>1561600</v>
      </c>
      <c r="F147" s="134"/>
      <c r="G147" s="134">
        <v>0</v>
      </c>
      <c r="H147" s="111"/>
      <c r="I147" s="257"/>
    </row>
    <row r="148" spans="1:9" ht="32.25" thickBot="1">
      <c r="A148" s="241"/>
      <c r="B148" s="242" t="s">
        <v>432</v>
      </c>
      <c r="C148" s="243">
        <f>C147</f>
        <v>3697507.5</v>
      </c>
      <c r="D148" s="281">
        <f t="shared" ref="D148:I148" si="6">D147</f>
        <v>-2135907.5</v>
      </c>
      <c r="E148" s="243">
        <f t="shared" si="6"/>
        <v>1561600</v>
      </c>
      <c r="F148" s="243">
        <f t="shared" si="6"/>
        <v>0</v>
      </c>
      <c r="G148" s="243">
        <f t="shared" si="6"/>
        <v>0</v>
      </c>
      <c r="H148" s="243">
        <f t="shared" si="6"/>
        <v>0</v>
      </c>
      <c r="I148" s="244">
        <f t="shared" si="6"/>
        <v>0</v>
      </c>
    </row>
    <row r="149" spans="1:9" ht="24.6" customHeight="1" thickBot="1">
      <c r="A149" s="275">
        <v>93</v>
      </c>
      <c r="B149" s="136" t="s">
        <v>234</v>
      </c>
      <c r="C149" s="134">
        <v>3499285.2</v>
      </c>
      <c r="D149" s="134">
        <v>2135907.5</v>
      </c>
      <c r="E149" s="134">
        <v>5635207</v>
      </c>
      <c r="F149" s="134"/>
      <c r="G149" s="134">
        <f>1249652.31+13000+1004943+488242+202164+843451</f>
        <v>3801452.31</v>
      </c>
      <c r="H149" s="111"/>
      <c r="I149" s="257"/>
    </row>
    <row r="150" spans="1:9" ht="48" thickBot="1">
      <c r="A150" s="241"/>
      <c r="B150" s="242" t="s">
        <v>433</v>
      </c>
      <c r="C150" s="243">
        <f>C149</f>
        <v>3499285.2</v>
      </c>
      <c r="D150" s="281">
        <f t="shared" ref="D150:I150" si="7">D149</f>
        <v>2135907.5</v>
      </c>
      <c r="E150" s="243">
        <f t="shared" si="7"/>
        <v>5635207</v>
      </c>
      <c r="F150" s="243">
        <f t="shared" si="7"/>
        <v>0</v>
      </c>
      <c r="G150" s="243">
        <f t="shared" si="7"/>
        <v>3801452.31</v>
      </c>
      <c r="H150" s="243">
        <f t="shared" si="7"/>
        <v>0</v>
      </c>
      <c r="I150" s="244">
        <f t="shared" si="7"/>
        <v>0</v>
      </c>
    </row>
    <row r="151" spans="1:9" ht="63.75" thickBot="1">
      <c r="A151" s="346">
        <v>94</v>
      </c>
      <c r="B151" s="315" t="s">
        <v>382</v>
      </c>
      <c r="C151" s="316">
        <v>2760000</v>
      </c>
      <c r="D151" s="316">
        <f>C151-E151</f>
        <v>600000</v>
      </c>
      <c r="E151" s="316">
        <v>2160000</v>
      </c>
      <c r="F151" s="316">
        <v>2160000</v>
      </c>
      <c r="G151" s="316">
        <f>2160000/9*5+200000*3</f>
        <v>1800000</v>
      </c>
      <c r="H151" s="316">
        <f>E151+D151</f>
        <v>2760000</v>
      </c>
      <c r="I151" s="317">
        <f>C151-H151</f>
        <v>0</v>
      </c>
    </row>
    <row r="152" spans="1:9" ht="63">
      <c r="A152" s="347">
        <v>95</v>
      </c>
      <c r="B152" s="319" t="s">
        <v>381</v>
      </c>
      <c r="C152" s="320">
        <v>2640000</v>
      </c>
      <c r="D152" s="320">
        <f>C152-E152</f>
        <v>612000</v>
      </c>
      <c r="E152" s="320">
        <v>2028000</v>
      </c>
      <c r="F152" s="320"/>
      <c r="G152" s="320">
        <f>26860.47+188024.53+188023+209291.25+210000+85909.09+204000*3</f>
        <v>1520108.3399999999</v>
      </c>
      <c r="H152" s="320">
        <f>26860.47+188024.53+188023+209291.25+210000+85909.09+204000*3+188023*4</f>
        <v>2272200.34</v>
      </c>
      <c r="I152" s="321">
        <f>C152-H152</f>
        <v>367799.66000000015</v>
      </c>
    </row>
    <row r="153" spans="1:9" ht="50.45" customHeight="1" thickBot="1">
      <c r="A153" s="275">
        <v>96</v>
      </c>
      <c r="B153" s="119" t="s">
        <v>383</v>
      </c>
      <c r="C153" s="142">
        <v>2760000</v>
      </c>
      <c r="D153" s="142">
        <f>C153-E153</f>
        <v>610000</v>
      </c>
      <c r="E153" s="142">
        <v>2150000</v>
      </c>
      <c r="F153" s="142">
        <f>E153</f>
        <v>2150000</v>
      </c>
      <c r="G153" s="142">
        <f>1194444+203000*2+204000</f>
        <v>1804444</v>
      </c>
      <c r="H153" s="142">
        <f>G153+238889*4</f>
        <v>2760000</v>
      </c>
      <c r="I153" s="248">
        <f>C153-H153</f>
        <v>0</v>
      </c>
    </row>
    <row r="154" spans="1:9" ht="28.15" customHeight="1" thickBot="1">
      <c r="A154" s="241"/>
      <c r="B154" s="242" t="s">
        <v>380</v>
      </c>
      <c r="C154" s="243">
        <f t="shared" ref="C154:I154" si="8">SUM(C151:C153)</f>
        <v>8160000</v>
      </c>
      <c r="D154" s="243">
        <f t="shared" si="8"/>
        <v>1822000</v>
      </c>
      <c r="E154" s="243">
        <f t="shared" si="8"/>
        <v>6338000</v>
      </c>
      <c r="F154" s="243">
        <f t="shared" si="8"/>
        <v>4310000</v>
      </c>
      <c r="G154" s="243">
        <f t="shared" si="8"/>
        <v>5124552.34</v>
      </c>
      <c r="H154" s="243">
        <f t="shared" si="8"/>
        <v>7792200.3399999999</v>
      </c>
      <c r="I154" s="244">
        <f t="shared" si="8"/>
        <v>367799.66000000015</v>
      </c>
    </row>
    <row r="155" spans="1:9" ht="110.25">
      <c r="A155" s="275">
        <v>97</v>
      </c>
      <c r="B155" s="119" t="s">
        <v>68</v>
      </c>
      <c r="C155" s="142">
        <v>2727943.92</v>
      </c>
      <c r="D155" s="142">
        <f>-(600000+66262.68*3)</f>
        <v>-798788.04</v>
      </c>
      <c r="E155" s="142">
        <f>2258174.89285714*1.12-672000-191365</f>
        <v>1665790.8799999971</v>
      </c>
      <c r="F155" s="142">
        <v>548079.84</v>
      </c>
      <c r="G155" s="142">
        <f>503276.9</f>
        <v>503276.9</v>
      </c>
      <c r="H155" s="142">
        <f>G155+60897.76*4</f>
        <v>746867.94000000006</v>
      </c>
      <c r="I155" s="248">
        <f>E155-H155</f>
        <v>918922.93999999703</v>
      </c>
    </row>
    <row r="156" spans="1:9" ht="31.5">
      <c r="A156" s="275">
        <v>98</v>
      </c>
      <c r="B156" s="119" t="s">
        <v>69</v>
      </c>
      <c r="C156" s="142">
        <v>1104000</v>
      </c>
      <c r="D156" s="142"/>
      <c r="E156" s="142">
        <f>C156</f>
        <v>1104000</v>
      </c>
      <c r="F156" s="142">
        <f>E156</f>
        <v>1104000</v>
      </c>
      <c r="G156" s="142">
        <v>178665.64</v>
      </c>
      <c r="H156" s="142">
        <f>G156*2</f>
        <v>357331.28</v>
      </c>
      <c r="I156" s="248">
        <f>E156-H156</f>
        <v>746668.72</v>
      </c>
    </row>
    <row r="157" spans="1:9" ht="31.5">
      <c r="A157" s="275">
        <v>99</v>
      </c>
      <c r="B157" s="119" t="s">
        <v>70</v>
      </c>
      <c r="C157" s="142">
        <f>151748.64+456915.844285714+4956.43</f>
        <v>613620.91428571404</v>
      </c>
      <c r="D157" s="142"/>
      <c r="E157" s="142">
        <f>C157</f>
        <v>613620.91428571404</v>
      </c>
      <c r="F157" s="142"/>
      <c r="G157" s="142">
        <f>94841.74+277701.94+70248.14</f>
        <v>442791.82</v>
      </c>
      <c r="H157" s="142"/>
      <c r="I157" s="248"/>
    </row>
    <row r="158" spans="1:9" ht="47.25">
      <c r="A158" s="275">
        <v>100</v>
      </c>
      <c r="B158" s="119" t="s">
        <v>71</v>
      </c>
      <c r="C158" s="284">
        <v>147690</v>
      </c>
      <c r="D158" s="142">
        <v>-100000</v>
      </c>
      <c r="E158" s="142">
        <f>C158+D158</f>
        <v>47690</v>
      </c>
      <c r="F158" s="142">
        <f>16320</f>
        <v>16320</v>
      </c>
      <c r="G158" s="142">
        <f>6480+1533.51</f>
        <v>8013.51</v>
      </c>
      <c r="H158" s="142">
        <f>F158</f>
        <v>16320</v>
      </c>
      <c r="I158" s="248">
        <f>E158-H158</f>
        <v>31370</v>
      </c>
    </row>
    <row r="159" spans="1:9" ht="31.5">
      <c r="A159" s="275">
        <v>101</v>
      </c>
      <c r="B159" s="119" t="s">
        <v>72</v>
      </c>
      <c r="C159" s="142">
        <v>122500</v>
      </c>
      <c r="D159" s="142">
        <v>100000</v>
      </c>
      <c r="E159" s="142">
        <f>C159+D159</f>
        <v>222500</v>
      </c>
      <c r="F159" s="142"/>
      <c r="G159" s="142">
        <f>105765</f>
        <v>105765</v>
      </c>
      <c r="H159" s="142">
        <f>G159+100000</f>
        <v>205765</v>
      </c>
      <c r="I159" s="248">
        <f>E159-H159</f>
        <v>16735</v>
      </c>
    </row>
    <row r="160" spans="1:9" ht="15.75">
      <c r="A160" s="275">
        <v>102</v>
      </c>
      <c r="B160" s="119" t="s">
        <v>73</v>
      </c>
      <c r="C160" s="142">
        <v>60000</v>
      </c>
      <c r="D160" s="142"/>
      <c r="E160" s="142">
        <f>C160</f>
        <v>60000</v>
      </c>
      <c r="F160" s="142">
        <v>60000</v>
      </c>
      <c r="G160" s="142">
        <f>2600+1300+4400+2600</f>
        <v>10900</v>
      </c>
      <c r="H160" s="142"/>
      <c r="I160" s="248"/>
    </row>
    <row r="161" spans="1:9" ht="25.9" customHeight="1" thickBot="1">
      <c r="A161" s="275">
        <v>103</v>
      </c>
      <c r="B161" s="119" t="s">
        <v>74</v>
      </c>
      <c r="C161" s="142">
        <v>348000</v>
      </c>
      <c r="D161" s="142"/>
      <c r="E161" s="142">
        <f>C161-30000</f>
        <v>318000</v>
      </c>
      <c r="F161" s="142"/>
      <c r="G161" s="142">
        <v>120759.07</v>
      </c>
      <c r="H161" s="142"/>
      <c r="I161" s="248"/>
    </row>
    <row r="162" spans="1:9" ht="26.45" customHeight="1" thickBot="1">
      <c r="A162" s="241"/>
      <c r="B162" s="242" t="s">
        <v>385</v>
      </c>
      <c r="C162" s="243">
        <f t="shared" ref="C162:I162" si="9">SUM(C155:C161)</f>
        <v>5123754.8342857137</v>
      </c>
      <c r="D162" s="281">
        <f t="shared" si="9"/>
        <v>-798788.04</v>
      </c>
      <c r="E162" s="243">
        <f t="shared" si="9"/>
        <v>4031601.7942857109</v>
      </c>
      <c r="F162" s="243">
        <f t="shared" si="9"/>
        <v>1728399.8399999999</v>
      </c>
      <c r="G162" s="243">
        <f t="shared" si="9"/>
        <v>1370171.9400000002</v>
      </c>
      <c r="H162" s="243">
        <f t="shared" si="9"/>
        <v>1326284.2200000002</v>
      </c>
      <c r="I162" s="244">
        <f t="shared" si="9"/>
        <v>1713696.6599999969</v>
      </c>
    </row>
    <row r="163" spans="1:9" ht="53.45" customHeight="1" thickBot="1">
      <c r="A163" s="275">
        <v>104</v>
      </c>
      <c r="B163" s="136" t="s">
        <v>75</v>
      </c>
      <c r="C163" s="134">
        <f>6192586.08+1818504.64</f>
        <v>8011090.7199999997</v>
      </c>
      <c r="D163" s="134">
        <v>-1900000</v>
      </c>
      <c r="E163" s="134">
        <f>5456331*1.12</f>
        <v>6111090.7200000007</v>
      </c>
      <c r="F163" s="134">
        <f>E163</f>
        <v>6111090.7200000007</v>
      </c>
      <c r="G163" s="134">
        <f>2502369.93+1205466.4+'[3]2015'!$AA$19</f>
        <v>3707836.33</v>
      </c>
      <c r="H163" s="134"/>
      <c r="I163" s="256"/>
    </row>
    <row r="164" spans="1:9" ht="53.45" customHeight="1" thickBot="1">
      <c r="A164" s="282"/>
      <c r="B164" s="242" t="s">
        <v>434</v>
      </c>
      <c r="C164" s="243">
        <f>C163</f>
        <v>8011090.7199999997</v>
      </c>
      <c r="D164" s="243">
        <f t="shared" ref="D164:I164" si="10">D163</f>
        <v>-1900000</v>
      </c>
      <c r="E164" s="243">
        <f t="shared" si="10"/>
        <v>6111090.7200000007</v>
      </c>
      <c r="F164" s="243">
        <f t="shared" si="10"/>
        <v>6111090.7200000007</v>
      </c>
      <c r="G164" s="243">
        <f t="shared" si="10"/>
        <v>3707836.33</v>
      </c>
      <c r="H164" s="243">
        <f t="shared" si="10"/>
        <v>0</v>
      </c>
      <c r="I164" s="244">
        <f t="shared" si="10"/>
        <v>0</v>
      </c>
    </row>
    <row r="165" spans="1:9" ht="16.5" thickBot="1">
      <c r="A165" s="346">
        <v>105</v>
      </c>
      <c r="B165" s="339" t="s">
        <v>76</v>
      </c>
      <c r="C165" s="330">
        <v>631700</v>
      </c>
      <c r="D165" s="330"/>
      <c r="E165" s="330">
        <f>C165</f>
        <v>631700</v>
      </c>
      <c r="F165" s="330"/>
      <c r="G165" s="330">
        <v>22347.53</v>
      </c>
      <c r="H165" s="330"/>
      <c r="I165" s="340"/>
    </row>
    <row r="166" spans="1:9" ht="48" thickBot="1">
      <c r="A166" s="347">
        <v>106</v>
      </c>
      <c r="B166" s="325" t="s">
        <v>266</v>
      </c>
      <c r="C166" s="326">
        <v>99100</v>
      </c>
      <c r="D166" s="326"/>
      <c r="E166" s="326">
        <f>C166</f>
        <v>99100</v>
      </c>
      <c r="F166" s="326">
        <v>0</v>
      </c>
      <c r="G166" s="326">
        <v>73732</v>
      </c>
      <c r="H166" s="326"/>
      <c r="I166" s="327"/>
    </row>
    <row r="167" spans="1:9" ht="48" thickBot="1">
      <c r="A167" s="282"/>
      <c r="B167" s="242" t="s">
        <v>435</v>
      </c>
      <c r="C167" s="243">
        <f>C165+C166</f>
        <v>730800</v>
      </c>
      <c r="D167" s="243">
        <f t="shared" ref="D167:I167" si="11">D165+D166</f>
        <v>0</v>
      </c>
      <c r="E167" s="243">
        <f t="shared" si="11"/>
        <v>730800</v>
      </c>
      <c r="F167" s="243">
        <f t="shared" si="11"/>
        <v>0</v>
      </c>
      <c r="G167" s="243">
        <f t="shared" si="11"/>
        <v>96079.53</v>
      </c>
      <c r="H167" s="243">
        <f t="shared" si="11"/>
        <v>0</v>
      </c>
      <c r="I167" s="244">
        <f t="shared" si="11"/>
        <v>0</v>
      </c>
    </row>
    <row r="168" spans="1:9" ht="32.25" thickBot="1">
      <c r="A168" s="275">
        <v>107</v>
      </c>
      <c r="B168" s="136" t="s">
        <v>79</v>
      </c>
      <c r="C168" s="134">
        <v>2200000</v>
      </c>
      <c r="D168" s="134"/>
      <c r="E168" s="134">
        <f>C168</f>
        <v>2200000</v>
      </c>
      <c r="F168" s="134"/>
      <c r="G168" s="134"/>
      <c r="H168" s="134"/>
      <c r="I168" s="256"/>
    </row>
    <row r="169" spans="1:9" ht="32.25" thickBot="1">
      <c r="A169" s="282"/>
      <c r="B169" s="242" t="s">
        <v>436</v>
      </c>
      <c r="C169" s="243">
        <f>C168</f>
        <v>2200000</v>
      </c>
      <c r="D169" s="243">
        <f t="shared" ref="D169:I169" si="12">D168</f>
        <v>0</v>
      </c>
      <c r="E169" s="243">
        <f t="shared" si="12"/>
        <v>2200000</v>
      </c>
      <c r="F169" s="243">
        <f t="shared" si="12"/>
        <v>0</v>
      </c>
      <c r="G169" s="243">
        <f t="shared" si="12"/>
        <v>0</v>
      </c>
      <c r="H169" s="243">
        <f t="shared" si="12"/>
        <v>0</v>
      </c>
      <c r="I169" s="244">
        <f t="shared" si="12"/>
        <v>0</v>
      </c>
    </row>
    <row r="170" spans="1:9" ht="47.25">
      <c r="A170" s="275">
        <v>108</v>
      </c>
      <c r="B170" s="138" t="s">
        <v>81</v>
      </c>
      <c r="C170" s="134">
        <v>33306700</v>
      </c>
      <c r="D170" s="134"/>
      <c r="E170" s="134">
        <v>33306700</v>
      </c>
      <c r="F170" s="134"/>
      <c r="G170" s="134">
        <f>9652.08+9115469.19+9018797.71</f>
        <v>18143918.98</v>
      </c>
      <c r="H170" s="134"/>
      <c r="I170" s="256"/>
    </row>
    <row r="171" spans="1:9" ht="31.5">
      <c r="A171" s="275">
        <v>109</v>
      </c>
      <c r="B171" s="138" t="s">
        <v>82</v>
      </c>
      <c r="C171" s="134">
        <v>2573500</v>
      </c>
      <c r="D171" s="134"/>
      <c r="E171" s="134">
        <v>2573500</v>
      </c>
      <c r="F171" s="134"/>
      <c r="G171" s="134"/>
      <c r="H171" s="134"/>
      <c r="I171" s="256"/>
    </row>
    <row r="172" spans="1:9" ht="47.25">
      <c r="A172" s="275">
        <v>110</v>
      </c>
      <c r="B172" s="140" t="s">
        <v>241</v>
      </c>
      <c r="C172" s="134">
        <v>127100</v>
      </c>
      <c r="D172" s="134"/>
      <c r="E172" s="134">
        <v>127100</v>
      </c>
      <c r="F172" s="134"/>
      <c r="G172" s="134">
        <v>83613.34</v>
      </c>
      <c r="H172" s="134"/>
      <c r="I172" s="256"/>
    </row>
    <row r="173" spans="1:9" ht="47.25">
      <c r="A173" s="275">
        <v>111</v>
      </c>
      <c r="B173" s="140" t="s">
        <v>242</v>
      </c>
      <c r="C173" s="134">
        <v>21060</v>
      </c>
      <c r="D173" s="134"/>
      <c r="E173" s="134">
        <v>21060</v>
      </c>
      <c r="F173" s="134"/>
      <c r="G173" s="134">
        <f>4914+4914</f>
        <v>9828</v>
      </c>
      <c r="H173" s="134"/>
      <c r="I173" s="256"/>
    </row>
    <row r="174" spans="1:9" ht="47.25">
      <c r="A174" s="275">
        <v>112</v>
      </c>
      <c r="B174" s="140" t="s">
        <v>83</v>
      </c>
      <c r="C174" s="134">
        <v>14426697.140000001</v>
      </c>
      <c r="D174" s="134"/>
      <c r="E174" s="134">
        <v>14426697.140000001</v>
      </c>
      <c r="F174" s="134"/>
      <c r="G174" s="134">
        <f>6744801.64+5514261.58</f>
        <v>12259063.219999999</v>
      </c>
      <c r="H174" s="134"/>
      <c r="I174" s="256"/>
    </row>
    <row r="175" spans="1:9" ht="31.5">
      <c r="A175" s="275">
        <v>113</v>
      </c>
      <c r="B175" s="140" t="s">
        <v>84</v>
      </c>
      <c r="C175" s="134">
        <v>660000</v>
      </c>
      <c r="D175" s="134"/>
      <c r="E175" s="134">
        <v>660000</v>
      </c>
      <c r="F175" s="134"/>
      <c r="G175" s="134">
        <v>642203.38</v>
      </c>
      <c r="H175" s="134"/>
      <c r="I175" s="256"/>
    </row>
    <row r="176" spans="1:9" ht="32.25" thickBot="1">
      <c r="A176" s="275">
        <v>114</v>
      </c>
      <c r="B176" s="140" t="s">
        <v>85</v>
      </c>
      <c r="C176" s="134">
        <v>6676617.8799999999</v>
      </c>
      <c r="D176" s="134"/>
      <c r="E176" s="134">
        <v>6676617.8799999999</v>
      </c>
      <c r="F176" s="134"/>
      <c r="G176" s="134">
        <f>302888.14+607121.66</f>
        <v>910009.8</v>
      </c>
      <c r="H176" s="134"/>
      <c r="I176" s="256"/>
    </row>
    <row r="177" spans="1:9" ht="24.6" customHeight="1" thickBot="1">
      <c r="A177" s="282"/>
      <c r="B177" s="242" t="s">
        <v>387</v>
      </c>
      <c r="C177" s="243">
        <f t="shared" ref="C177:I177" si="13">SUM(C170:C176)</f>
        <v>57791675.020000003</v>
      </c>
      <c r="D177" s="243">
        <f t="shared" si="13"/>
        <v>0</v>
      </c>
      <c r="E177" s="243">
        <f t="shared" si="13"/>
        <v>57791675.020000003</v>
      </c>
      <c r="F177" s="243">
        <f t="shared" si="13"/>
        <v>0</v>
      </c>
      <c r="G177" s="243">
        <f t="shared" si="13"/>
        <v>32048636.719999999</v>
      </c>
      <c r="H177" s="243">
        <f t="shared" si="13"/>
        <v>0</v>
      </c>
      <c r="I177" s="244">
        <f t="shared" si="13"/>
        <v>0</v>
      </c>
    </row>
    <row r="178" spans="1:9" ht="20.45" customHeight="1">
      <c r="A178" s="275">
        <v>115</v>
      </c>
      <c r="B178" s="138" t="s">
        <v>86</v>
      </c>
      <c r="C178" s="134">
        <v>100000</v>
      </c>
      <c r="D178" s="134"/>
      <c r="E178" s="134">
        <v>100000</v>
      </c>
      <c r="F178" s="134"/>
      <c r="G178" s="134">
        <v>35467</v>
      </c>
      <c r="H178" s="134"/>
      <c r="I178" s="256"/>
    </row>
    <row r="179" spans="1:9" ht="31.5">
      <c r="A179" s="275">
        <v>116</v>
      </c>
      <c r="B179" s="123" t="s">
        <v>87</v>
      </c>
      <c r="C179" s="142">
        <v>185000</v>
      </c>
      <c r="D179" s="142"/>
      <c r="E179" s="142">
        <v>185000</v>
      </c>
      <c r="F179" s="134">
        <v>166500</v>
      </c>
      <c r="G179" s="134">
        <v>67950</v>
      </c>
      <c r="H179" s="134">
        <f>G179</f>
        <v>67950</v>
      </c>
      <c r="I179" s="256">
        <f>C179-H179</f>
        <v>117050</v>
      </c>
    </row>
    <row r="180" spans="1:9" ht="21.6" customHeight="1">
      <c r="A180" s="275">
        <v>117</v>
      </c>
      <c r="B180" s="138" t="s">
        <v>88</v>
      </c>
      <c r="C180" s="134">
        <v>72000</v>
      </c>
      <c r="D180" s="134"/>
      <c r="E180" s="134">
        <v>72000</v>
      </c>
      <c r="F180" s="134">
        <v>68000</v>
      </c>
      <c r="G180" s="134">
        <f>31280+20400</f>
        <v>51680</v>
      </c>
      <c r="H180" s="134"/>
      <c r="I180" s="256"/>
    </row>
    <row r="181" spans="1:9" ht="32.25" thickBot="1">
      <c r="A181" s="346">
        <v>118</v>
      </c>
      <c r="B181" s="334" t="s">
        <v>91</v>
      </c>
      <c r="C181" s="330">
        <f>205875*1.12</f>
        <v>230580.00000000003</v>
      </c>
      <c r="D181" s="330"/>
      <c r="E181" s="330">
        <f>C181</f>
        <v>230580.00000000003</v>
      </c>
      <c r="F181" s="330">
        <v>0</v>
      </c>
      <c r="G181" s="330">
        <v>145389.15</v>
      </c>
      <c r="H181" s="330">
        <f>G181+37619.67+19167*2</f>
        <v>221342.82</v>
      </c>
      <c r="I181" s="340">
        <f>E181-H181</f>
        <v>9237.1800000000221</v>
      </c>
    </row>
    <row r="182" spans="1:9" ht="63">
      <c r="A182" s="347">
        <v>119</v>
      </c>
      <c r="B182" s="348" t="s">
        <v>93</v>
      </c>
      <c r="C182" s="326">
        <v>200000</v>
      </c>
      <c r="D182" s="326"/>
      <c r="E182" s="326">
        <f>C182</f>
        <v>200000</v>
      </c>
      <c r="F182" s="326">
        <v>176964.29</v>
      </c>
      <c r="G182" s="326">
        <v>94050</v>
      </c>
      <c r="H182" s="326"/>
      <c r="I182" s="327"/>
    </row>
    <row r="183" spans="1:9" ht="31.5">
      <c r="A183" s="275">
        <v>120</v>
      </c>
      <c r="B183" s="138" t="s">
        <v>94</v>
      </c>
      <c r="C183" s="134">
        <v>5400000</v>
      </c>
      <c r="D183" s="134"/>
      <c r="E183" s="134">
        <v>5400000</v>
      </c>
      <c r="F183" s="134"/>
      <c r="G183" s="134">
        <v>3600000</v>
      </c>
      <c r="H183" s="134">
        <f>G183/8*12</f>
        <v>5400000</v>
      </c>
      <c r="I183" s="256"/>
    </row>
    <row r="184" spans="1:9" ht="31.5">
      <c r="A184" s="275">
        <v>121</v>
      </c>
      <c r="B184" s="138" t="s">
        <v>243</v>
      </c>
      <c r="C184" s="134">
        <v>198200</v>
      </c>
      <c r="D184" s="134"/>
      <c r="E184" s="134">
        <v>198200</v>
      </c>
      <c r="F184" s="134"/>
      <c r="G184" s="134"/>
      <c r="H184" s="134"/>
      <c r="I184" s="256"/>
    </row>
    <row r="185" spans="1:9" ht="31.5">
      <c r="A185" s="275">
        <v>122</v>
      </c>
      <c r="B185" s="138" t="s">
        <v>244</v>
      </c>
      <c r="C185" s="134">
        <v>198200</v>
      </c>
      <c r="D185" s="134"/>
      <c r="E185" s="134">
        <v>198200</v>
      </c>
      <c r="F185" s="134"/>
      <c r="G185" s="134"/>
      <c r="H185" s="134"/>
      <c r="I185" s="256"/>
    </row>
    <row r="186" spans="1:9" ht="31.5">
      <c r="A186" s="275">
        <v>123</v>
      </c>
      <c r="B186" s="138" t="s">
        <v>245</v>
      </c>
      <c r="C186" s="134">
        <v>198200</v>
      </c>
      <c r="D186" s="134"/>
      <c r="E186" s="134">
        <v>198200</v>
      </c>
      <c r="F186" s="134"/>
      <c r="G186" s="134"/>
      <c r="H186" s="134"/>
      <c r="I186" s="256"/>
    </row>
    <row r="187" spans="1:9" ht="15.75">
      <c r="A187" s="275">
        <v>124</v>
      </c>
      <c r="B187" s="138" t="s">
        <v>233</v>
      </c>
      <c r="C187" s="134">
        <v>153100</v>
      </c>
      <c r="D187" s="134"/>
      <c r="E187" s="134">
        <v>153100</v>
      </c>
      <c r="F187" s="134"/>
      <c r="G187" s="134"/>
      <c r="H187" s="134"/>
      <c r="I187" s="256"/>
    </row>
    <row r="188" spans="1:9" ht="31.5">
      <c r="A188" s="275">
        <v>125</v>
      </c>
      <c r="B188" s="138" t="s">
        <v>95</v>
      </c>
      <c r="C188" s="134">
        <v>97200</v>
      </c>
      <c r="D188" s="134"/>
      <c r="E188" s="134">
        <v>97200</v>
      </c>
      <c r="F188" s="134"/>
      <c r="G188" s="134"/>
      <c r="H188" s="134"/>
      <c r="I188" s="256"/>
    </row>
    <row r="189" spans="1:9" ht="16.5" thickBot="1">
      <c r="A189" s="275">
        <v>126</v>
      </c>
      <c r="B189" s="138" t="s">
        <v>96</v>
      </c>
      <c r="C189" s="134">
        <v>4300</v>
      </c>
      <c r="D189" s="134"/>
      <c r="E189" s="134">
        <v>4300</v>
      </c>
      <c r="F189" s="134"/>
      <c r="G189" s="134">
        <v>3857.13</v>
      </c>
      <c r="H189" s="134"/>
      <c r="I189" s="256"/>
    </row>
    <row r="190" spans="1:9" ht="32.25" thickBot="1">
      <c r="A190" s="282"/>
      <c r="B190" s="242" t="s">
        <v>388</v>
      </c>
      <c r="C190" s="243">
        <f>SUM(C178:C189)</f>
        <v>7036780</v>
      </c>
      <c r="D190" s="243">
        <f t="shared" ref="D190:I190" si="14">SUM(D178:D189)</f>
        <v>0</v>
      </c>
      <c r="E190" s="243">
        <f t="shared" si="14"/>
        <v>7036780</v>
      </c>
      <c r="F190" s="243">
        <f t="shared" si="14"/>
        <v>411464.29000000004</v>
      </c>
      <c r="G190" s="243">
        <f t="shared" si="14"/>
        <v>3998393.28</v>
      </c>
      <c r="H190" s="243">
        <f t="shared" si="14"/>
        <v>5689292.8200000003</v>
      </c>
      <c r="I190" s="244">
        <f t="shared" si="14"/>
        <v>126287.18000000002</v>
      </c>
    </row>
    <row r="191" spans="1:9" ht="32.25" thickBot="1">
      <c r="A191" s="275">
        <v>127</v>
      </c>
      <c r="B191" s="138" t="s">
        <v>97</v>
      </c>
      <c r="C191" s="134">
        <v>161267.16</v>
      </c>
      <c r="D191" s="134"/>
      <c r="E191" s="134">
        <v>161267.16</v>
      </c>
      <c r="F191" s="134">
        <v>117927.83</v>
      </c>
      <c r="G191" s="134">
        <v>66842.59</v>
      </c>
      <c r="H191" s="134">
        <f>G191</f>
        <v>66842.59</v>
      </c>
      <c r="I191" s="256">
        <f>F191-H191</f>
        <v>51085.240000000005</v>
      </c>
    </row>
    <row r="192" spans="1:9" ht="16.5" thickBot="1">
      <c r="A192" s="282"/>
      <c r="B192" s="242" t="s">
        <v>391</v>
      </c>
      <c r="C192" s="243">
        <f>SUM(C191)</f>
        <v>161267.16</v>
      </c>
      <c r="D192" s="243">
        <f t="shared" ref="D192:I192" si="15">SUM(D191)</f>
        <v>0</v>
      </c>
      <c r="E192" s="243">
        <f t="shared" si="15"/>
        <v>161267.16</v>
      </c>
      <c r="F192" s="243">
        <f t="shared" si="15"/>
        <v>117927.83</v>
      </c>
      <c r="G192" s="243">
        <f t="shared" si="15"/>
        <v>66842.59</v>
      </c>
      <c r="H192" s="243">
        <f t="shared" si="15"/>
        <v>66842.59</v>
      </c>
      <c r="I192" s="244">
        <f t="shared" si="15"/>
        <v>51085.240000000005</v>
      </c>
    </row>
    <row r="193" spans="1:9" ht="15.75">
      <c r="A193" s="275">
        <v>128</v>
      </c>
      <c r="B193" s="138" t="s">
        <v>156</v>
      </c>
      <c r="C193" s="134">
        <f>2427155.35714286*1.12</f>
        <v>2718414.0000000037</v>
      </c>
      <c r="D193" s="134"/>
      <c r="E193" s="134">
        <f>C193</f>
        <v>2718414.0000000037</v>
      </c>
      <c r="F193" s="134">
        <v>0</v>
      </c>
      <c r="G193" s="134"/>
      <c r="H193" s="134"/>
      <c r="I193" s="256"/>
    </row>
    <row r="194" spans="1:9" ht="15.75">
      <c r="A194" s="275">
        <v>131</v>
      </c>
      <c r="B194" s="138" t="s">
        <v>98</v>
      </c>
      <c r="C194" s="134">
        <v>109995.84</v>
      </c>
      <c r="D194" s="134"/>
      <c r="E194" s="134">
        <v>109995.84</v>
      </c>
      <c r="F194" s="135">
        <v>84240</v>
      </c>
      <c r="G194" s="134">
        <f>F194</f>
        <v>84240</v>
      </c>
      <c r="H194" s="134">
        <f>G194</f>
        <v>84240</v>
      </c>
      <c r="I194" s="256">
        <f>E194-H194</f>
        <v>25755.839999999997</v>
      </c>
    </row>
    <row r="195" spans="1:9" ht="63.75" thickBot="1">
      <c r="A195" s="275">
        <v>132</v>
      </c>
      <c r="B195" s="138" t="s">
        <v>99</v>
      </c>
      <c r="C195" s="134">
        <v>298400</v>
      </c>
      <c r="D195" s="134"/>
      <c r="E195" s="134">
        <f>C195</f>
        <v>298400</v>
      </c>
      <c r="F195" s="134"/>
      <c r="G195" s="134"/>
      <c r="H195" s="134"/>
      <c r="I195" s="256"/>
    </row>
    <row r="196" spans="1:9" ht="32.25" thickBot="1">
      <c r="A196" s="282"/>
      <c r="B196" s="242" t="s">
        <v>437</v>
      </c>
      <c r="C196" s="243">
        <f>SUM(C193:C195)</f>
        <v>3126809.8400000036</v>
      </c>
      <c r="D196" s="243">
        <f t="shared" ref="D196:I196" si="16">SUM(D193:D195)</f>
        <v>0</v>
      </c>
      <c r="E196" s="243">
        <f t="shared" si="16"/>
        <v>3126809.8400000036</v>
      </c>
      <c r="F196" s="243">
        <f t="shared" si="16"/>
        <v>84240</v>
      </c>
      <c r="G196" s="243">
        <f t="shared" si="16"/>
        <v>84240</v>
      </c>
      <c r="H196" s="243">
        <f t="shared" si="16"/>
        <v>84240</v>
      </c>
      <c r="I196" s="244">
        <f t="shared" si="16"/>
        <v>25755.839999999997</v>
      </c>
    </row>
    <row r="197" spans="1:9" ht="31.5">
      <c r="A197" s="275">
        <v>134</v>
      </c>
      <c r="B197" s="138" t="s">
        <v>100</v>
      </c>
      <c r="C197" s="134">
        <v>319690.8</v>
      </c>
      <c r="D197" s="134"/>
      <c r="E197" s="134">
        <f t="shared" ref="E197:E215" si="17">C197+D197</f>
        <v>319690.8</v>
      </c>
      <c r="F197" s="141"/>
      <c r="G197" s="134"/>
      <c r="H197" s="134"/>
      <c r="I197" s="256"/>
    </row>
    <row r="198" spans="1:9" ht="31.5">
      <c r="A198" s="275">
        <v>135</v>
      </c>
      <c r="B198" s="138" t="s">
        <v>101</v>
      </c>
      <c r="C198" s="134">
        <v>494251.2</v>
      </c>
      <c r="D198" s="134">
        <v>-494251.2</v>
      </c>
      <c r="E198" s="134">
        <f t="shared" si="17"/>
        <v>0</v>
      </c>
      <c r="F198" s="141"/>
      <c r="G198" s="134"/>
      <c r="H198" s="134"/>
      <c r="I198" s="256"/>
    </row>
    <row r="199" spans="1:9" ht="31.5">
      <c r="A199" s="275">
        <v>136</v>
      </c>
      <c r="B199" s="138" t="s">
        <v>102</v>
      </c>
      <c r="C199" s="134">
        <v>3024000</v>
      </c>
      <c r="D199" s="134">
        <v>423360</v>
      </c>
      <c r="E199" s="134">
        <f t="shared" si="17"/>
        <v>3447360</v>
      </c>
      <c r="F199" s="141"/>
      <c r="G199" s="134"/>
      <c r="H199" s="134"/>
      <c r="I199" s="256"/>
    </row>
    <row r="200" spans="1:9" ht="32.25" thickBot="1">
      <c r="A200" s="346">
        <v>137</v>
      </c>
      <c r="B200" s="334" t="s">
        <v>103</v>
      </c>
      <c r="C200" s="330">
        <v>285120</v>
      </c>
      <c r="D200" s="330"/>
      <c r="E200" s="330">
        <f t="shared" si="17"/>
        <v>285120</v>
      </c>
      <c r="F200" s="349"/>
      <c r="G200" s="330"/>
      <c r="H200" s="330"/>
      <c r="I200" s="340"/>
    </row>
    <row r="201" spans="1:9" ht="31.5">
      <c r="A201" s="347">
        <v>138</v>
      </c>
      <c r="B201" s="336" t="s">
        <v>104</v>
      </c>
      <c r="C201" s="326">
        <v>433663.2</v>
      </c>
      <c r="D201" s="326">
        <v>-433663.2</v>
      </c>
      <c r="E201" s="326">
        <f t="shared" si="17"/>
        <v>0</v>
      </c>
      <c r="F201" s="350"/>
      <c r="G201" s="326"/>
      <c r="H201" s="326"/>
      <c r="I201" s="327"/>
    </row>
    <row r="202" spans="1:9" ht="31.5">
      <c r="A202" s="275">
        <v>139</v>
      </c>
      <c r="B202" s="138" t="s">
        <v>105</v>
      </c>
      <c r="C202" s="134">
        <v>495720</v>
      </c>
      <c r="D202" s="134"/>
      <c r="E202" s="134">
        <f t="shared" si="17"/>
        <v>495720</v>
      </c>
      <c r="F202" s="141"/>
      <c r="G202" s="134"/>
      <c r="H202" s="134"/>
      <c r="I202" s="256"/>
    </row>
    <row r="203" spans="1:9" ht="31.5">
      <c r="A203" s="275">
        <v>140</v>
      </c>
      <c r="B203" s="138" t="s">
        <v>106</v>
      </c>
      <c r="C203" s="134">
        <v>949762.8</v>
      </c>
      <c r="D203" s="134">
        <v>-949762.8</v>
      </c>
      <c r="E203" s="134">
        <f t="shared" si="17"/>
        <v>0</v>
      </c>
      <c r="F203" s="141"/>
      <c r="G203" s="134"/>
      <c r="H203" s="134"/>
      <c r="I203" s="256"/>
    </row>
    <row r="204" spans="1:9" ht="31.5">
      <c r="A204" s="275">
        <v>141</v>
      </c>
      <c r="B204" s="138" t="s">
        <v>107</v>
      </c>
      <c r="C204" s="134">
        <v>1512000</v>
      </c>
      <c r="D204" s="134">
        <v>211680</v>
      </c>
      <c r="E204" s="134">
        <f t="shared" si="17"/>
        <v>1723680</v>
      </c>
      <c r="F204" s="141"/>
      <c r="G204" s="134"/>
      <c r="H204" s="134"/>
      <c r="I204" s="256"/>
    </row>
    <row r="205" spans="1:9" ht="31.5">
      <c r="A205" s="275">
        <v>142</v>
      </c>
      <c r="B205" s="138" t="s">
        <v>108</v>
      </c>
      <c r="C205" s="134">
        <v>7128000</v>
      </c>
      <c r="D205" s="134">
        <v>997920.03</v>
      </c>
      <c r="E205" s="134">
        <f t="shared" si="17"/>
        <v>8125920.0300000003</v>
      </c>
      <c r="F205" s="141"/>
      <c r="G205" s="134"/>
      <c r="H205" s="134"/>
      <c r="I205" s="256"/>
    </row>
    <row r="206" spans="1:9" ht="31.5">
      <c r="A206" s="275">
        <v>143</v>
      </c>
      <c r="B206" s="138" t="s">
        <v>109</v>
      </c>
      <c r="C206" s="134">
        <v>378000</v>
      </c>
      <c r="D206" s="134">
        <v>37800</v>
      </c>
      <c r="E206" s="134">
        <f t="shared" si="17"/>
        <v>415800</v>
      </c>
      <c r="F206" s="141"/>
      <c r="G206" s="134"/>
      <c r="H206" s="134"/>
      <c r="I206" s="256"/>
    </row>
    <row r="207" spans="1:9" ht="31.5">
      <c r="A207" s="275">
        <v>144</v>
      </c>
      <c r="B207" s="138" t="s">
        <v>110</v>
      </c>
      <c r="C207" s="134">
        <v>81648</v>
      </c>
      <c r="D207" s="134">
        <v>3265.92</v>
      </c>
      <c r="E207" s="134">
        <f t="shared" si="17"/>
        <v>84913.919999999998</v>
      </c>
      <c r="F207" s="141"/>
      <c r="G207" s="134"/>
      <c r="H207" s="134"/>
      <c r="I207" s="256"/>
    </row>
    <row r="208" spans="1:9" ht="31.5">
      <c r="A208" s="275">
        <v>145</v>
      </c>
      <c r="B208" s="138" t="s">
        <v>111</v>
      </c>
      <c r="C208" s="134">
        <v>211140</v>
      </c>
      <c r="D208" s="134">
        <v>8445.64</v>
      </c>
      <c r="E208" s="134">
        <f t="shared" si="17"/>
        <v>219585.64</v>
      </c>
      <c r="F208" s="141"/>
      <c r="G208" s="134"/>
      <c r="H208" s="134"/>
      <c r="I208" s="256"/>
    </row>
    <row r="209" spans="1:9" ht="31.5">
      <c r="A209" s="275">
        <v>146</v>
      </c>
      <c r="B209" s="138" t="s">
        <v>112</v>
      </c>
      <c r="C209" s="134">
        <v>1518480</v>
      </c>
      <c r="D209" s="134"/>
      <c r="E209" s="134">
        <f t="shared" si="17"/>
        <v>1518480</v>
      </c>
      <c r="F209" s="141"/>
      <c r="G209" s="134"/>
      <c r="H209" s="134"/>
      <c r="I209" s="256"/>
    </row>
    <row r="210" spans="1:9" ht="31.5">
      <c r="A210" s="275">
        <v>147</v>
      </c>
      <c r="B210" s="138" t="s">
        <v>389</v>
      </c>
      <c r="C210" s="134">
        <v>668304</v>
      </c>
      <c r="D210" s="134">
        <v>373.68</v>
      </c>
      <c r="E210" s="134">
        <f t="shared" si="17"/>
        <v>668677.68000000005</v>
      </c>
      <c r="F210" s="141"/>
      <c r="G210" s="134"/>
      <c r="H210" s="134"/>
      <c r="I210" s="256"/>
    </row>
    <row r="211" spans="1:9" ht="31.5">
      <c r="A211" s="275">
        <v>148</v>
      </c>
      <c r="B211" s="138" t="s">
        <v>113</v>
      </c>
      <c r="C211" s="134">
        <v>2538000</v>
      </c>
      <c r="D211" s="134">
        <v>-0.14599999999999999</v>
      </c>
      <c r="E211" s="134">
        <f t="shared" si="17"/>
        <v>2537999.8539999998</v>
      </c>
      <c r="F211" s="141"/>
      <c r="G211" s="134"/>
      <c r="H211" s="134"/>
      <c r="I211" s="256"/>
    </row>
    <row r="212" spans="1:9" ht="63">
      <c r="A212" s="275">
        <v>149</v>
      </c>
      <c r="B212" s="138" t="s">
        <v>114</v>
      </c>
      <c r="C212" s="134">
        <v>1078920</v>
      </c>
      <c r="D212" s="134">
        <v>107891.95</v>
      </c>
      <c r="E212" s="134">
        <f t="shared" si="17"/>
        <v>1186811.95</v>
      </c>
      <c r="F212" s="141"/>
      <c r="G212" s="134"/>
      <c r="H212" s="134"/>
      <c r="I212" s="256"/>
    </row>
    <row r="213" spans="1:9" ht="47.25">
      <c r="A213" s="275">
        <v>150</v>
      </c>
      <c r="B213" s="138" t="s">
        <v>115</v>
      </c>
      <c r="C213" s="134">
        <v>869400</v>
      </c>
      <c r="D213" s="134">
        <v>86940</v>
      </c>
      <c r="E213" s="134">
        <f t="shared" si="17"/>
        <v>956340</v>
      </c>
      <c r="F213" s="141"/>
      <c r="G213" s="134"/>
      <c r="H213" s="134"/>
      <c r="I213" s="256"/>
    </row>
    <row r="214" spans="1:9" ht="22.9" customHeight="1">
      <c r="A214" s="275">
        <v>151</v>
      </c>
      <c r="B214" s="138" t="s">
        <v>116</v>
      </c>
      <c r="C214" s="134">
        <v>50479.199999999997</v>
      </c>
      <c r="D214" s="134"/>
      <c r="E214" s="134">
        <f t="shared" si="17"/>
        <v>50479.199999999997</v>
      </c>
      <c r="F214" s="141"/>
      <c r="G214" s="134"/>
      <c r="H214" s="134"/>
      <c r="I214" s="256"/>
    </row>
    <row r="215" spans="1:9" ht="48" thickBot="1">
      <c r="A215" s="275">
        <v>152</v>
      </c>
      <c r="B215" s="138" t="s">
        <v>117</v>
      </c>
      <c r="C215" s="134">
        <v>27646.92</v>
      </c>
      <c r="D215" s="134"/>
      <c r="E215" s="134">
        <f t="shared" si="17"/>
        <v>27646.92</v>
      </c>
      <c r="F215" s="141"/>
      <c r="G215" s="134"/>
      <c r="H215" s="134"/>
      <c r="I215" s="256"/>
    </row>
    <row r="216" spans="1:9" ht="17.45" customHeight="1" thickBot="1">
      <c r="A216" s="282"/>
      <c r="B216" s="242" t="s">
        <v>390</v>
      </c>
      <c r="C216" s="243">
        <f t="shared" ref="C216:I216" si="18">SUM(C197:C215)</f>
        <v>22064226.120000001</v>
      </c>
      <c r="D216" s="243">
        <f t="shared" si="18"/>
        <v>-0.12600000017846469</v>
      </c>
      <c r="E216" s="243">
        <f t="shared" si="18"/>
        <v>22064225.993999999</v>
      </c>
      <c r="F216" s="243">
        <f t="shared" si="18"/>
        <v>0</v>
      </c>
      <c r="G216" s="243">
        <f t="shared" si="18"/>
        <v>0</v>
      </c>
      <c r="H216" s="243">
        <f t="shared" si="18"/>
        <v>0</v>
      </c>
      <c r="I216" s="244">
        <f t="shared" si="18"/>
        <v>0</v>
      </c>
    </row>
    <row r="217" spans="1:9" ht="15.75">
      <c r="A217" s="275">
        <v>155</v>
      </c>
      <c r="B217" s="138" t="s">
        <v>159</v>
      </c>
      <c r="C217" s="134">
        <v>685420</v>
      </c>
      <c r="D217" s="134">
        <v>60279.94</v>
      </c>
      <c r="E217" s="134">
        <f t="shared" ref="E217:E222" si="19">C217+D217</f>
        <v>745699.94</v>
      </c>
      <c r="F217" s="134"/>
      <c r="G217" s="134"/>
      <c r="H217" s="134"/>
      <c r="I217" s="256"/>
    </row>
    <row r="218" spans="1:9" ht="16.5" thickBot="1">
      <c r="A218" s="346">
        <v>156</v>
      </c>
      <c r="B218" s="334" t="s">
        <v>119</v>
      </c>
      <c r="C218" s="330">
        <v>765714</v>
      </c>
      <c r="D218" s="330">
        <v>563963.97</v>
      </c>
      <c r="E218" s="330">
        <f t="shared" si="19"/>
        <v>1329677.97</v>
      </c>
      <c r="F218" s="330"/>
      <c r="G218" s="330"/>
      <c r="H218" s="330"/>
      <c r="I218" s="340"/>
    </row>
    <row r="219" spans="1:9" ht="15.75">
      <c r="A219" s="341">
        <v>157</v>
      </c>
      <c r="B219" s="333" t="s">
        <v>120</v>
      </c>
      <c r="C219" s="238">
        <v>1024650</v>
      </c>
      <c r="D219" s="238">
        <v>-185130.03</v>
      </c>
      <c r="E219" s="238">
        <f t="shared" si="19"/>
        <v>839519.97</v>
      </c>
      <c r="F219" s="238"/>
      <c r="G219" s="238"/>
      <c r="H219" s="238"/>
      <c r="I219" s="262"/>
    </row>
    <row r="220" spans="1:9" ht="15.75">
      <c r="A220" s="275">
        <v>158</v>
      </c>
      <c r="B220" s="138" t="s">
        <v>121</v>
      </c>
      <c r="C220" s="134">
        <v>713700</v>
      </c>
      <c r="D220" s="134">
        <v>-713699.95</v>
      </c>
      <c r="E220" s="134">
        <f t="shared" si="19"/>
        <v>5.0000000046566129E-2</v>
      </c>
      <c r="F220" s="134"/>
      <c r="G220" s="134"/>
      <c r="H220" s="134"/>
      <c r="I220" s="256"/>
    </row>
    <row r="221" spans="1:9" ht="15.75">
      <c r="A221" s="275">
        <v>159</v>
      </c>
      <c r="B221" s="138" t="s">
        <v>193</v>
      </c>
      <c r="C221" s="134">
        <v>1123800</v>
      </c>
      <c r="D221" s="134">
        <v>483020.6</v>
      </c>
      <c r="E221" s="134">
        <f t="shared" si="19"/>
        <v>1606820.6</v>
      </c>
      <c r="F221" s="134"/>
      <c r="G221" s="134"/>
      <c r="H221" s="134"/>
      <c r="I221" s="256"/>
    </row>
    <row r="222" spans="1:9" ht="15.75">
      <c r="A222" s="275">
        <v>160</v>
      </c>
      <c r="B222" s="138" t="s">
        <v>122</v>
      </c>
      <c r="C222" s="134">
        <v>1708564</v>
      </c>
      <c r="D222" s="134">
        <v>1072655.98</v>
      </c>
      <c r="E222" s="134">
        <f t="shared" si="19"/>
        <v>2781219.98</v>
      </c>
      <c r="F222" s="134"/>
      <c r="G222" s="134"/>
      <c r="H222" s="134"/>
      <c r="I222" s="256"/>
    </row>
    <row r="223" spans="1:9" ht="31.5">
      <c r="A223" s="275">
        <v>161</v>
      </c>
      <c r="B223" s="138" t="s">
        <v>123</v>
      </c>
      <c r="C223" s="134">
        <v>776412</v>
      </c>
      <c r="D223" s="134"/>
      <c r="E223" s="134">
        <f>C223</f>
        <v>776412</v>
      </c>
      <c r="F223" s="134"/>
      <c r="G223" s="134"/>
      <c r="H223" s="134"/>
      <c r="I223" s="256"/>
    </row>
    <row r="224" spans="1:9" ht="15.75">
      <c r="A224" s="275">
        <v>162</v>
      </c>
      <c r="B224" s="138" t="s">
        <v>124</v>
      </c>
      <c r="C224" s="134">
        <v>254976</v>
      </c>
      <c r="D224" s="134"/>
      <c r="E224" s="134">
        <f>C224</f>
        <v>254976</v>
      </c>
      <c r="F224" s="134">
        <v>204620</v>
      </c>
      <c r="G224" s="134">
        <f>F224</f>
        <v>204620</v>
      </c>
      <c r="H224" s="134">
        <f>G224</f>
        <v>204620</v>
      </c>
      <c r="I224" s="256">
        <f>E224-H224</f>
        <v>50356</v>
      </c>
    </row>
    <row r="225" spans="1:9" ht="15.75">
      <c r="A225" s="275">
        <v>163</v>
      </c>
      <c r="B225" s="138" t="s">
        <v>125</v>
      </c>
      <c r="C225" s="134">
        <v>500000</v>
      </c>
      <c r="D225" s="134"/>
      <c r="E225" s="134">
        <f>C225</f>
        <v>500000</v>
      </c>
      <c r="F225" s="134"/>
      <c r="G225" s="134"/>
      <c r="H225" s="134"/>
      <c r="I225" s="256"/>
    </row>
    <row r="226" spans="1:9" ht="16.5" thickBot="1">
      <c r="A226" s="275">
        <v>164</v>
      </c>
      <c r="B226" s="138" t="s">
        <v>126</v>
      </c>
      <c r="C226" s="134">
        <v>1089725</v>
      </c>
      <c r="D226" s="134">
        <v>-1089725</v>
      </c>
      <c r="E226" s="134">
        <f>C226+D226</f>
        <v>0</v>
      </c>
      <c r="F226" s="134"/>
      <c r="G226" s="134"/>
      <c r="H226" s="134"/>
      <c r="I226" s="256"/>
    </row>
    <row r="227" spans="1:9" ht="16.5" thickBot="1">
      <c r="A227" s="272"/>
      <c r="B227" s="273" t="s">
        <v>392</v>
      </c>
      <c r="C227" s="274">
        <f t="shared" ref="C227:I227" si="20">SUM(C217:C226)</f>
        <v>8642961</v>
      </c>
      <c r="D227" s="274">
        <f t="shared" si="20"/>
        <v>191365.50999999978</v>
      </c>
      <c r="E227" s="274">
        <f t="shared" si="20"/>
        <v>8834326.5099999998</v>
      </c>
      <c r="F227" s="274">
        <f t="shared" si="20"/>
        <v>204620</v>
      </c>
      <c r="G227" s="274">
        <f t="shared" si="20"/>
        <v>204620</v>
      </c>
      <c r="H227" s="274">
        <f t="shared" si="20"/>
        <v>204620</v>
      </c>
      <c r="I227" s="276">
        <f t="shared" si="20"/>
        <v>50356</v>
      </c>
    </row>
    <row r="228" spans="1:9" ht="24.6" customHeight="1" thickBot="1">
      <c r="A228" s="241"/>
      <c r="B228" s="242" t="s">
        <v>441</v>
      </c>
      <c r="C228" s="243">
        <f>C6+C9+C27+C35+C134+C146+C148+C150+C154+C162+C164+C167+C169+C177+C190+C192</f>
        <v>187273245.01428571</v>
      </c>
      <c r="D228" s="243">
        <f>D6+D9+D27+D35+D134+D146+D148+D150+D154+D162+D164+D167+D169+D177+D190+D192</f>
        <v>-10126516.02</v>
      </c>
      <c r="E228" s="243">
        <f>E6+E9+E27+E35+E134+E146+E148+E150+E154+E162+E164+E167+E169+E177+E190+E192</f>
        <v>169009067.22948566</v>
      </c>
      <c r="F228" s="243"/>
      <c r="G228" s="243"/>
      <c r="H228" s="243"/>
      <c r="I228" s="244"/>
    </row>
    <row r="229" spans="1:9" ht="24.6" customHeight="1">
      <c r="A229" s="351"/>
      <c r="B229" s="352"/>
      <c r="C229" s="353"/>
      <c r="D229" s="353"/>
      <c r="E229" s="353"/>
      <c r="F229" s="353"/>
      <c r="G229" s="353"/>
      <c r="H229" s="353"/>
      <c r="I229" s="353"/>
    </row>
    <row r="230" spans="1:9" ht="16.149999999999999" customHeight="1">
      <c r="A230" s="8"/>
      <c r="B230" s="292" t="s">
        <v>338</v>
      </c>
      <c r="C230" s="289"/>
      <c r="D230" s="289"/>
      <c r="E230" s="289"/>
      <c r="F230" s="289"/>
      <c r="G230" s="289"/>
      <c r="H230" s="8"/>
      <c r="I230" s="8"/>
    </row>
    <row r="231" spans="1:9" ht="19.149999999999999" customHeight="1">
      <c r="A231" s="291" t="s">
        <v>1</v>
      </c>
      <c r="B231" s="291" t="s">
        <v>438</v>
      </c>
      <c r="C231" s="291" t="s">
        <v>444</v>
      </c>
    </row>
    <row r="232" spans="1:9" ht="15.75">
      <c r="A232" s="290">
        <v>1</v>
      </c>
      <c r="B232" s="286" t="s">
        <v>446</v>
      </c>
      <c r="C232" s="267">
        <v>30126283.25</v>
      </c>
      <c r="E232" s="64" t="s">
        <v>439</v>
      </c>
      <c r="F232" s="114">
        <f>657077909.38-434603946</f>
        <v>222473963.38</v>
      </c>
      <c r="G232" s="288"/>
      <c r="H232" s="114"/>
    </row>
    <row r="233" spans="1:9" ht="17.45" customHeight="1">
      <c r="A233" s="290">
        <v>2</v>
      </c>
      <c r="B233" s="286" t="s">
        <v>447</v>
      </c>
      <c r="C233" s="267">
        <v>2775200</v>
      </c>
    </row>
    <row r="234" spans="1:9" ht="31.5">
      <c r="A234" s="290">
        <v>3</v>
      </c>
      <c r="B234" s="286" t="s">
        <v>448</v>
      </c>
      <c r="C234" s="267">
        <v>298000</v>
      </c>
      <c r="E234" s="288" t="s">
        <v>445</v>
      </c>
      <c r="F234" s="114">
        <f>F232-C237</f>
        <v>187273258.78999999</v>
      </c>
    </row>
    <row r="235" spans="1:9" ht="15.75">
      <c r="A235" s="290">
        <v>4</v>
      </c>
      <c r="B235" s="286" t="s">
        <v>449</v>
      </c>
      <c r="C235" s="267">
        <v>96105.600000000006</v>
      </c>
      <c r="F235" s="133"/>
    </row>
    <row r="236" spans="1:9" ht="15.75">
      <c r="A236" s="290">
        <v>5</v>
      </c>
      <c r="B236" s="286" t="s">
        <v>450</v>
      </c>
      <c r="C236" s="267">
        <v>1905115.74</v>
      </c>
      <c r="E236" s="289"/>
    </row>
    <row r="237" spans="1:9" ht="15.75">
      <c r="A237" s="286"/>
      <c r="B237" s="285" t="s">
        <v>440</v>
      </c>
      <c r="C237" s="287">
        <f>SUM(C232:C236)</f>
        <v>35200704.590000004</v>
      </c>
      <c r="D237" s="280"/>
    </row>
    <row r="239" spans="1:9">
      <c r="B239" s="125"/>
      <c r="C239" s="133"/>
    </row>
    <row r="240" spans="1:9">
      <c r="B240" s="125"/>
    </row>
  </sheetData>
  <mergeCells count="1">
    <mergeCell ref="A1:I1"/>
  </mergeCells>
  <dataValidations xWindow="1604" yWindow="733" count="7">
    <dataValidation allowBlank="1" showInputMessage="1" showErrorMessage="1" prompt="Введите дополнительную характеристику на государственном языке" sqref="B222:B226 D218:D219 B219:B220 D221:D223 B64:C66"/>
    <dataValidation allowBlank="1" showInputMessage="1" showErrorMessage="1" prompt="Характеристика на государственном языке заполняется автоматически в соответствии с КТРУ" sqref="B74:C74 B82:C82 B76:C76"/>
    <dataValidation allowBlank="1" showInputMessage="1" showErrorMessage="1" prompt="Наименование на государственном языке заполняется автоматически в соответствии с КТРУ" sqref="B54:C63 B69:C72 B85:B91 B36:C51 C85:C133 D36:D91"/>
    <dataValidation allowBlank="1" showInputMessage="1" showErrorMessage="1" prompt="Наименование на русском языке заполняется автоматически в соответствии с КТРУ" sqref="B75:C75"/>
    <dataValidation allowBlank="1" showInputMessage="1" showErrorMessage="1" prompt="Введите дополнительную характеристику на русском языке" sqref="B77:C81 B83:C84 B67:C68 B221 B73:C73 C165:D165 B166 B217:B218 D220 D217 D193 B193:C194 B178:D189 B191:D191 C168:D168 B170:D176"/>
    <dataValidation type="decimal" operator="greaterThan" allowBlank="1" showInputMessage="1" showErrorMessage="1" prompt="Введите прогнозируемую сумму на второй год трехлетнего периода" sqref="F67:F69 F83 F72:F78 F179 F194 F191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E182">
      <formula1>0</formula1>
    </dataValidation>
  </dataValidations>
  <pageMargins left="0.31496062992125984" right="0.11811023622047245" top="0.35433070866141736" bottom="0.35433070866141736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4"/>
  <sheetViews>
    <sheetView topLeftCell="B1" workbookViewId="0">
      <pane ySplit="2955" topLeftCell="A10" activePane="bottomLeft"/>
      <selection activeCell="E5" sqref="E5"/>
      <selection pane="bottomLeft" activeCell="F14" sqref="F14"/>
    </sheetView>
  </sheetViews>
  <sheetFormatPr defaultRowHeight="15"/>
  <cols>
    <col min="1" max="1" width="6" customWidth="1"/>
    <col min="2" max="2" width="27.7109375" customWidth="1"/>
    <col min="3" max="4" width="17.28515625" customWidth="1"/>
    <col min="5" max="5" width="19.7109375" customWidth="1"/>
    <col min="6" max="6" width="20.42578125" customWidth="1"/>
    <col min="7" max="7" width="21" customWidth="1"/>
    <col min="8" max="9" width="20" customWidth="1"/>
    <col min="10" max="10" width="18" customWidth="1"/>
    <col min="11" max="11" width="14.85546875" customWidth="1"/>
    <col min="12" max="12" width="16.7109375" customWidth="1"/>
    <col min="13" max="13" width="21.140625" customWidth="1"/>
    <col min="14" max="14" width="12.28515625" bestFit="1" customWidth="1"/>
  </cols>
  <sheetData>
    <row r="1" spans="1:14" ht="25.9" customHeight="1">
      <c r="A1" s="420" t="s">
        <v>430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4" ht="12.6" customHeight="1" thickBot="1">
      <c r="J2" s="133"/>
    </row>
    <row r="3" spans="1:14" ht="78.75">
      <c r="A3" s="245" t="s">
        <v>352</v>
      </c>
      <c r="B3" s="246" t="s">
        <v>340</v>
      </c>
      <c r="C3" s="246" t="s">
        <v>486</v>
      </c>
      <c r="D3" s="246" t="s">
        <v>386</v>
      </c>
      <c r="E3" s="246" t="s">
        <v>487</v>
      </c>
      <c r="F3" s="246" t="s">
        <v>488</v>
      </c>
      <c r="G3" s="246" t="s">
        <v>366</v>
      </c>
      <c r="H3" s="246" t="s">
        <v>443</v>
      </c>
      <c r="I3" s="246" t="s">
        <v>465</v>
      </c>
      <c r="J3" s="246" t="s">
        <v>442</v>
      </c>
      <c r="K3" s="246" t="s">
        <v>451</v>
      </c>
      <c r="L3" s="246" t="s">
        <v>499</v>
      </c>
      <c r="M3" s="247" t="s">
        <v>466</v>
      </c>
    </row>
    <row r="4" spans="1:14" ht="47.25">
      <c r="A4" s="250">
        <v>1</v>
      </c>
      <c r="B4" s="119" t="s">
        <v>16</v>
      </c>
      <c r="C4" s="142">
        <v>130000</v>
      </c>
      <c r="D4" s="142"/>
      <c r="E4" s="142">
        <f>C4+D4</f>
        <v>130000</v>
      </c>
      <c r="F4" s="142">
        <f>E4</f>
        <v>130000</v>
      </c>
      <c r="G4" s="142">
        <v>129209</v>
      </c>
      <c r="H4" s="142">
        <f>27928.56+1765.16</f>
        <v>29693.72</v>
      </c>
      <c r="I4" s="142">
        <f>10751.41*4</f>
        <v>43005.64</v>
      </c>
      <c r="J4" s="142">
        <f>27928.56+1765.16+10751.41*4</f>
        <v>72699.360000000001</v>
      </c>
      <c r="K4" s="142">
        <f>F4-J4</f>
        <v>57300.639999999999</v>
      </c>
      <c r="L4" s="355" t="s">
        <v>453</v>
      </c>
      <c r="M4" s="354"/>
    </row>
    <row r="5" spans="1:14" ht="47.25">
      <c r="A5" s="250">
        <v>2</v>
      </c>
      <c r="B5" s="119" t="s">
        <v>21</v>
      </c>
      <c r="C5" s="142">
        <v>6791000</v>
      </c>
      <c r="D5" s="142"/>
      <c r="E5" s="142">
        <f>C5+D5</f>
        <v>6791000</v>
      </c>
      <c r="F5" s="142">
        <f>C5+D5</f>
        <v>6791000</v>
      </c>
      <c r="G5" s="142">
        <f>F5</f>
        <v>6791000</v>
      </c>
      <c r="H5" s="142">
        <v>3678265.87</v>
      </c>
      <c r="I5" s="142">
        <f>J5-H5</f>
        <v>3112734.13</v>
      </c>
      <c r="J5" s="142">
        <f>G5</f>
        <v>6791000</v>
      </c>
      <c r="K5" s="142">
        <f>F5-J5</f>
        <v>0</v>
      </c>
      <c r="L5" s="355" t="s">
        <v>453</v>
      </c>
      <c r="M5" s="376" t="s">
        <v>484</v>
      </c>
    </row>
    <row r="6" spans="1:14" ht="21" customHeight="1">
      <c r="A6" s="360"/>
      <c r="B6" s="356" t="s">
        <v>369</v>
      </c>
      <c r="C6" s="357">
        <f>SUM(C4:C5)</f>
        <v>6921000</v>
      </c>
      <c r="D6" s="357">
        <f>SUM(D4:D5)</f>
        <v>0</v>
      </c>
      <c r="E6" s="357">
        <f>SUM(E4:E5)</f>
        <v>6921000</v>
      </c>
      <c r="F6" s="357">
        <f t="shared" ref="F6:K6" si="0">SUM(F4:F5)</f>
        <v>6921000</v>
      </c>
      <c r="G6" s="357">
        <f t="shared" si="0"/>
        <v>6920209</v>
      </c>
      <c r="H6" s="357">
        <f t="shared" si="0"/>
        <v>3707959.5900000003</v>
      </c>
      <c r="I6" s="357">
        <f t="shared" si="0"/>
        <v>3155739.77</v>
      </c>
      <c r="J6" s="357">
        <f t="shared" si="0"/>
        <v>6863699.3600000003</v>
      </c>
      <c r="K6" s="357">
        <f t="shared" si="0"/>
        <v>57300.639999999999</v>
      </c>
      <c r="L6" s="357"/>
      <c r="M6" s="361"/>
    </row>
    <row r="7" spans="1:14" ht="63">
      <c r="A7" s="362">
        <v>3</v>
      </c>
      <c r="B7" s="119" t="s">
        <v>22</v>
      </c>
      <c r="C7" s="142">
        <v>129100</v>
      </c>
      <c r="D7" s="142">
        <v>0</v>
      </c>
      <c r="E7" s="142">
        <f>C7</f>
        <v>129100</v>
      </c>
      <c r="F7" s="142">
        <v>129100</v>
      </c>
      <c r="G7" s="142">
        <f>F7</f>
        <v>129100</v>
      </c>
      <c r="H7" s="142">
        <v>22935</v>
      </c>
      <c r="I7" s="142">
        <v>106165</v>
      </c>
      <c r="J7" s="142">
        <f>H7+I7</f>
        <v>129100</v>
      </c>
      <c r="K7" s="142">
        <f>G7-J7</f>
        <v>0</v>
      </c>
      <c r="L7" s="355" t="s">
        <v>454</v>
      </c>
      <c r="M7" s="376" t="s">
        <v>485</v>
      </c>
    </row>
    <row r="8" spans="1:14" ht="55.15" customHeight="1">
      <c r="A8" s="362">
        <v>4</v>
      </c>
      <c r="B8" s="119" t="s">
        <v>26</v>
      </c>
      <c r="C8" s="142">
        <v>8495482</v>
      </c>
      <c r="D8" s="142">
        <v>70000</v>
      </c>
      <c r="E8" s="142">
        <f>C8+D8</f>
        <v>8565482</v>
      </c>
      <c r="F8" s="142">
        <f>C8+D8</f>
        <v>8565482</v>
      </c>
      <c r="G8" s="142">
        <v>64995</v>
      </c>
      <c r="H8" s="142">
        <f>G8</f>
        <v>64995</v>
      </c>
      <c r="I8" s="142"/>
      <c r="J8" s="142">
        <f>H8</f>
        <v>64995</v>
      </c>
      <c r="K8" s="142">
        <f>F8-H8</f>
        <v>8500487</v>
      </c>
      <c r="L8" s="355" t="s">
        <v>455</v>
      </c>
      <c r="M8" s="376" t="s">
        <v>467</v>
      </c>
    </row>
    <row r="9" spans="1:14" ht="25.9" customHeight="1">
      <c r="A9" s="360"/>
      <c r="B9" s="356" t="s">
        <v>370</v>
      </c>
      <c r="C9" s="357">
        <f t="shared" ref="C9:K9" si="1">SUM(C7:C8)</f>
        <v>8624582</v>
      </c>
      <c r="D9" s="358">
        <f t="shared" si="1"/>
        <v>70000</v>
      </c>
      <c r="E9" s="357">
        <f t="shared" si="1"/>
        <v>8694582</v>
      </c>
      <c r="F9" s="357">
        <f t="shared" si="1"/>
        <v>8694582</v>
      </c>
      <c r="G9" s="357">
        <f t="shared" si="1"/>
        <v>194095</v>
      </c>
      <c r="H9" s="357">
        <f t="shared" si="1"/>
        <v>87930</v>
      </c>
      <c r="I9" s="357">
        <f t="shared" si="1"/>
        <v>106165</v>
      </c>
      <c r="J9" s="357">
        <f t="shared" si="1"/>
        <v>194095</v>
      </c>
      <c r="K9" s="357">
        <f t="shared" si="1"/>
        <v>8500487</v>
      </c>
      <c r="L9" s="357"/>
      <c r="M9" s="361"/>
    </row>
    <row r="10" spans="1:14" ht="72.75">
      <c r="A10" s="250">
        <v>5</v>
      </c>
      <c r="B10" s="119" t="s">
        <v>27</v>
      </c>
      <c r="C10" s="142">
        <f>16033995.7142857*1.12+5387200</f>
        <v>23345275.199999984</v>
      </c>
      <c r="D10" s="142">
        <f>-17958075.2</f>
        <v>-17958075.199999999</v>
      </c>
      <c r="E10" s="142">
        <f t="shared" ref="E10:E29" si="2">C10+D10</f>
        <v>5387199.9999999851</v>
      </c>
      <c r="F10" s="142">
        <v>0</v>
      </c>
      <c r="G10" s="142">
        <v>0</v>
      </c>
      <c r="H10" s="142">
        <v>5387200</v>
      </c>
      <c r="I10" s="142">
        <v>0</v>
      </c>
      <c r="J10" s="370">
        <f>H10</f>
        <v>5387200</v>
      </c>
      <c r="K10" s="142">
        <f>E10-J10</f>
        <v>-1.4901161193847656E-8</v>
      </c>
      <c r="L10" s="355" t="s">
        <v>456</v>
      </c>
      <c r="M10" s="376" t="s">
        <v>470</v>
      </c>
    </row>
    <row r="11" spans="1:14" ht="60.75">
      <c r="A11" s="250">
        <v>6</v>
      </c>
      <c r="B11" s="119" t="s">
        <v>367</v>
      </c>
      <c r="C11" s="142">
        <f>843341.517857143*1.12</f>
        <v>944542.50000000023</v>
      </c>
      <c r="D11" s="142">
        <v>4555458</v>
      </c>
      <c r="E11" s="142">
        <f t="shared" si="2"/>
        <v>5500000.5</v>
      </c>
      <c r="F11" s="142">
        <f>E11-H11</f>
        <v>4990000.5</v>
      </c>
      <c r="G11" s="142">
        <v>0</v>
      </c>
      <c r="H11" s="142">
        <v>510000</v>
      </c>
      <c r="I11" s="142"/>
      <c r="J11" s="142">
        <f>H11</f>
        <v>510000</v>
      </c>
      <c r="K11" s="142"/>
      <c r="L11" s="355" t="s">
        <v>456</v>
      </c>
      <c r="M11" s="376" t="s">
        <v>471</v>
      </c>
    </row>
    <row r="12" spans="1:14" ht="60.75">
      <c r="A12" s="250">
        <v>7</v>
      </c>
      <c r="B12" s="119" t="s">
        <v>376</v>
      </c>
      <c r="C12" s="142">
        <f>82033.9285714286*1.12</f>
        <v>91878.000000000029</v>
      </c>
      <c r="D12" s="142">
        <v>38122</v>
      </c>
      <c r="E12" s="142">
        <f t="shared" si="2"/>
        <v>130000.00000000003</v>
      </c>
      <c r="F12" s="142">
        <f>E12-H12</f>
        <v>40400.000000000029</v>
      </c>
      <c r="G12" s="142">
        <v>0</v>
      </c>
      <c r="H12" s="142">
        <v>89600</v>
      </c>
      <c r="I12" s="142"/>
      <c r="J12" s="142">
        <f>H12</f>
        <v>89600</v>
      </c>
      <c r="K12" s="142"/>
      <c r="L12" s="355" t="s">
        <v>456</v>
      </c>
      <c r="M12" s="376" t="s">
        <v>472</v>
      </c>
    </row>
    <row r="13" spans="1:14" ht="60.75">
      <c r="A13" s="250">
        <v>8</v>
      </c>
      <c r="B13" s="119" t="s">
        <v>31</v>
      </c>
      <c r="C13" s="142">
        <f>1079683.92857143*1.12+279552</f>
        <v>1488798.0000000019</v>
      </c>
      <c r="D13" s="142">
        <f>9158020.5-145246</f>
        <v>9012774.5</v>
      </c>
      <c r="E13" s="142">
        <f t="shared" si="2"/>
        <v>10501572.500000002</v>
      </c>
      <c r="F13" s="142">
        <f>E13-H13</f>
        <v>10222020.500000002</v>
      </c>
      <c r="G13" s="142">
        <v>0</v>
      </c>
      <c r="H13" s="142">
        <v>279552</v>
      </c>
      <c r="I13" s="142"/>
      <c r="J13" s="142">
        <f>H13</f>
        <v>279552</v>
      </c>
      <c r="K13" s="142"/>
      <c r="L13" s="355" t="s">
        <v>456</v>
      </c>
      <c r="M13" s="376" t="s">
        <v>468</v>
      </c>
    </row>
    <row r="14" spans="1:14" ht="126">
      <c r="A14" s="250" t="s">
        <v>368</v>
      </c>
      <c r="B14" s="119" t="s">
        <v>32</v>
      </c>
      <c r="C14" s="142">
        <v>20873920</v>
      </c>
      <c r="D14" s="142">
        <f>-(1080000+1911600.3+608784)</f>
        <v>-3600384.3</v>
      </c>
      <c r="E14" s="142">
        <f t="shared" si="2"/>
        <v>17273535.699999999</v>
      </c>
      <c r="F14" s="142">
        <f>E14-4182976+0.3</f>
        <v>13090560</v>
      </c>
      <c r="G14" s="142">
        <f>11688000*1.12</f>
        <v>13090560.000000002</v>
      </c>
      <c r="H14" s="142">
        <f>8066016</f>
        <v>8066016</v>
      </c>
      <c r="I14" s="142"/>
      <c r="J14" s="142"/>
      <c r="K14" s="142">
        <v>0</v>
      </c>
      <c r="L14" s="355" t="s">
        <v>456</v>
      </c>
      <c r="M14" s="376" t="s">
        <v>469</v>
      </c>
    </row>
    <row r="15" spans="1:14" ht="34.15" customHeight="1">
      <c r="A15" s="250" t="s">
        <v>372</v>
      </c>
      <c r="B15" s="119" t="s">
        <v>39</v>
      </c>
      <c r="C15" s="142">
        <f>843750*1.12</f>
        <v>945000.00000000012</v>
      </c>
      <c r="D15" s="142">
        <v>-651000</v>
      </c>
      <c r="E15" s="142">
        <f t="shared" si="2"/>
        <v>294000.00000000012</v>
      </c>
      <c r="F15" s="142">
        <f>E15</f>
        <v>294000.00000000012</v>
      </c>
      <c r="G15" s="142">
        <f>262500*1.12</f>
        <v>294000</v>
      </c>
      <c r="H15" s="142">
        <v>223440</v>
      </c>
      <c r="I15" s="142">
        <f>J15-H15</f>
        <v>70560</v>
      </c>
      <c r="J15" s="142">
        <f>G15</f>
        <v>294000</v>
      </c>
      <c r="K15" s="142">
        <f>F15-G15</f>
        <v>0</v>
      </c>
      <c r="L15" s="355" t="s">
        <v>456</v>
      </c>
      <c r="M15" s="354"/>
    </row>
    <row r="16" spans="1:14" ht="31.5">
      <c r="A16" s="250" t="s">
        <v>373</v>
      </c>
      <c r="B16" s="119" t="s">
        <v>34</v>
      </c>
      <c r="C16" s="142">
        <f>3928571.42857143*1.12</f>
        <v>4400000.0000000019</v>
      </c>
      <c r="D16" s="142">
        <v>-1320000</v>
      </c>
      <c r="E16" s="142">
        <f t="shared" si="2"/>
        <v>3080000.0000000019</v>
      </c>
      <c r="F16" s="142">
        <f>E16</f>
        <v>3080000.0000000019</v>
      </c>
      <c r="G16" s="142">
        <f>2750000*1.12</f>
        <v>3080000.0000000005</v>
      </c>
      <c r="H16" s="142">
        <v>0</v>
      </c>
      <c r="I16" s="142"/>
      <c r="J16" s="142">
        <f>G16</f>
        <v>3080000.0000000005</v>
      </c>
      <c r="K16" s="142">
        <f>F16-J16</f>
        <v>0</v>
      </c>
      <c r="L16" s="355" t="s">
        <v>456</v>
      </c>
      <c r="M16" s="354"/>
      <c r="N16" s="133"/>
    </row>
    <row r="17" spans="1:13" ht="47.25">
      <c r="A17" s="250" t="s">
        <v>374</v>
      </c>
      <c r="B17" s="119" t="s">
        <v>37</v>
      </c>
      <c r="C17" s="142">
        <f>226785.714285714*1.12</f>
        <v>253999.99999999971</v>
      </c>
      <c r="D17" s="142">
        <v>-254000</v>
      </c>
      <c r="E17" s="142">
        <f t="shared" si="2"/>
        <v>-2.9103830456733704E-10</v>
      </c>
      <c r="F17" s="142">
        <f>C17+D17</f>
        <v>-2.9103830456733704E-10</v>
      </c>
      <c r="G17" s="142">
        <v>0</v>
      </c>
      <c r="H17" s="142">
        <v>231000</v>
      </c>
      <c r="I17" s="142"/>
      <c r="J17" s="142">
        <f>H17</f>
        <v>231000</v>
      </c>
      <c r="K17" s="142">
        <f>C17-J17</f>
        <v>22999.999999999709</v>
      </c>
      <c r="L17" s="355" t="s">
        <v>456</v>
      </c>
      <c r="M17" s="354"/>
    </row>
    <row r="18" spans="1:13" ht="47.25">
      <c r="A18" s="250">
        <v>13</v>
      </c>
      <c r="B18" s="119" t="s">
        <v>183</v>
      </c>
      <c r="C18" s="142">
        <f>1130535.71428571*1.12</f>
        <v>1266199.9999999951</v>
      </c>
      <c r="D18" s="142">
        <v>-814840</v>
      </c>
      <c r="E18" s="142">
        <f t="shared" si="2"/>
        <v>451359.99999999511</v>
      </c>
      <c r="F18" s="142">
        <f>E18</f>
        <v>451359.99999999511</v>
      </c>
      <c r="G18" s="142">
        <f>403000*1.12</f>
        <v>451360.00000000006</v>
      </c>
      <c r="H18" s="142">
        <v>0</v>
      </c>
      <c r="I18" s="142"/>
      <c r="J18" s="142">
        <f t="shared" ref="J18:J24" si="3">G18</f>
        <v>451360.00000000006</v>
      </c>
      <c r="K18" s="142">
        <f>C18-J18</f>
        <v>814839.99999999511</v>
      </c>
      <c r="L18" s="355" t="s">
        <v>456</v>
      </c>
      <c r="M18" s="354"/>
    </row>
    <row r="19" spans="1:13" ht="47.25">
      <c r="A19" s="250">
        <v>14</v>
      </c>
      <c r="B19" s="119" t="s">
        <v>38</v>
      </c>
      <c r="C19" s="142">
        <f>270089.285714286*1.12</f>
        <v>302500.00000000029</v>
      </c>
      <c r="D19" s="142">
        <v>-22836</v>
      </c>
      <c r="E19" s="142">
        <f t="shared" si="2"/>
        <v>279664.00000000029</v>
      </c>
      <c r="F19" s="142">
        <f>E19</f>
        <v>279664.00000000029</v>
      </c>
      <c r="G19" s="142">
        <f>249700*1.12</f>
        <v>279664</v>
      </c>
      <c r="H19" s="142">
        <f>35593.6+49350+21150</f>
        <v>106093.6</v>
      </c>
      <c r="I19" s="142"/>
      <c r="J19" s="142">
        <f t="shared" si="3"/>
        <v>279664</v>
      </c>
      <c r="K19" s="142">
        <f>C19-J19</f>
        <v>22836.000000000291</v>
      </c>
      <c r="L19" s="355" t="s">
        <v>456</v>
      </c>
      <c r="M19" s="354"/>
    </row>
    <row r="20" spans="1:13" ht="31.5">
      <c r="A20" s="250">
        <v>15</v>
      </c>
      <c r="B20" s="119" t="s">
        <v>40</v>
      </c>
      <c r="C20" s="142">
        <v>374976</v>
      </c>
      <c r="D20" s="142">
        <v>-245728</v>
      </c>
      <c r="E20" s="142">
        <f t="shared" si="2"/>
        <v>129248</v>
      </c>
      <c r="F20" s="142">
        <f>E20</f>
        <v>129248</v>
      </c>
      <c r="G20" s="142">
        <f>115400*1.12</f>
        <v>129248.00000000001</v>
      </c>
      <c r="H20" s="142">
        <v>0</v>
      </c>
      <c r="I20" s="142"/>
      <c r="J20" s="142">
        <f t="shared" si="3"/>
        <v>129248.00000000001</v>
      </c>
      <c r="K20" s="142">
        <f>C20-J20</f>
        <v>245728</v>
      </c>
      <c r="L20" s="355" t="s">
        <v>456</v>
      </c>
      <c r="M20" s="354"/>
    </row>
    <row r="21" spans="1:13" ht="31.5">
      <c r="A21" s="250">
        <v>16</v>
      </c>
      <c r="B21" s="119" t="s">
        <v>41</v>
      </c>
      <c r="C21" s="142">
        <f>1719642.85714286*1.12</f>
        <v>1926000.0000000035</v>
      </c>
      <c r="D21" s="142">
        <f>-(737673.5-32016)</f>
        <v>-705657.5</v>
      </c>
      <c r="E21" s="142">
        <f t="shared" si="2"/>
        <v>1220342.5000000035</v>
      </c>
      <c r="F21" s="142">
        <f>1719642.85714286*1.12+D21</f>
        <v>1220342.5000000035</v>
      </c>
      <c r="G21" s="142">
        <f>1089591.52*1.12</f>
        <v>1220342.5024000001</v>
      </c>
      <c r="H21" s="142">
        <v>0</v>
      </c>
      <c r="I21" s="142"/>
      <c r="J21" s="142">
        <f t="shared" si="3"/>
        <v>1220342.5024000001</v>
      </c>
      <c r="K21" s="142">
        <f>C21-J21</f>
        <v>705657.49760000338</v>
      </c>
      <c r="L21" s="355" t="s">
        <v>456</v>
      </c>
      <c r="M21" s="354"/>
    </row>
    <row r="22" spans="1:13" ht="78.75">
      <c r="A22" s="250">
        <v>17</v>
      </c>
      <c r="B22" s="119" t="s">
        <v>228</v>
      </c>
      <c r="C22" s="142"/>
      <c r="D22" s="142">
        <v>1080000</v>
      </c>
      <c r="E22" s="142">
        <f t="shared" si="2"/>
        <v>1080000</v>
      </c>
      <c r="F22" s="142">
        <f>964285.714285714*1.12</f>
        <v>1079999.9999999998</v>
      </c>
      <c r="G22" s="142">
        <f>F22</f>
        <v>1079999.9999999998</v>
      </c>
      <c r="H22" s="142">
        <v>0</v>
      </c>
      <c r="I22" s="142">
        <f>G22</f>
        <v>1079999.9999999998</v>
      </c>
      <c r="J22" s="142">
        <f t="shared" si="3"/>
        <v>1079999.9999999998</v>
      </c>
      <c r="K22" s="142">
        <f>G22-J22</f>
        <v>0</v>
      </c>
      <c r="L22" s="355" t="s">
        <v>456</v>
      </c>
      <c r="M22" s="354"/>
    </row>
    <row r="23" spans="1:13" ht="78.75">
      <c r="A23" s="250">
        <v>18</v>
      </c>
      <c r="B23" s="119" t="s">
        <v>258</v>
      </c>
      <c r="C23" s="142"/>
      <c r="D23" s="142">
        <v>1911600.32</v>
      </c>
      <c r="E23" s="142">
        <f t="shared" si="2"/>
        <v>1911600.32</v>
      </c>
      <c r="F23" s="142">
        <f>1706786*1.12</f>
        <v>1911600.3200000003</v>
      </c>
      <c r="G23" s="142">
        <f>1706786*1.12</f>
        <v>1911600.3200000003</v>
      </c>
      <c r="H23" s="142">
        <v>0</v>
      </c>
      <c r="I23" s="142"/>
      <c r="J23" s="142">
        <f t="shared" si="3"/>
        <v>1911600.3200000003</v>
      </c>
      <c r="K23" s="142">
        <f>G23-J23</f>
        <v>0</v>
      </c>
      <c r="L23" s="355" t="s">
        <v>456</v>
      </c>
      <c r="M23" s="354"/>
    </row>
    <row r="24" spans="1:13" ht="63">
      <c r="A24" s="250">
        <v>19</v>
      </c>
      <c r="B24" s="119" t="s">
        <v>43</v>
      </c>
      <c r="C24" s="142">
        <f>458571.428571429*1.12</f>
        <v>513600.00000000052</v>
      </c>
      <c r="D24" s="142">
        <v>-65601.119999999995</v>
      </c>
      <c r="E24" s="142">
        <f t="shared" si="2"/>
        <v>447998.88000000053</v>
      </c>
      <c r="F24" s="142">
        <f>E24</f>
        <v>447998.88000000053</v>
      </c>
      <c r="G24" s="142">
        <f>399999*1.12</f>
        <v>447998.88000000006</v>
      </c>
      <c r="H24" s="142">
        <v>261978</v>
      </c>
      <c r="I24" s="142">
        <f>J24-H24</f>
        <v>186020.88000000006</v>
      </c>
      <c r="J24" s="142">
        <f t="shared" si="3"/>
        <v>447998.88000000006</v>
      </c>
      <c r="K24" s="142">
        <f>C24-J24</f>
        <v>65601.120000000461</v>
      </c>
      <c r="L24" s="355" t="s">
        <v>456</v>
      </c>
      <c r="M24" s="354"/>
    </row>
    <row r="25" spans="1:13" ht="78.75">
      <c r="A25" s="250">
        <v>20</v>
      </c>
      <c r="B25" s="119" t="s">
        <v>46</v>
      </c>
      <c r="C25" s="142">
        <f>460357.142857143*1.12</f>
        <v>515600.00000000023</v>
      </c>
      <c r="D25" s="142">
        <v>1984400</v>
      </c>
      <c r="E25" s="142">
        <f t="shared" si="2"/>
        <v>2500000</v>
      </c>
      <c r="F25" s="142">
        <f>E25</f>
        <v>2500000</v>
      </c>
      <c r="G25" s="142">
        <v>0</v>
      </c>
      <c r="H25" s="142">
        <v>0</v>
      </c>
      <c r="I25" s="142"/>
      <c r="J25" s="359"/>
      <c r="K25" s="359"/>
      <c r="L25" s="355" t="s">
        <v>456</v>
      </c>
      <c r="M25" s="354"/>
    </row>
    <row r="26" spans="1:13" ht="47.25">
      <c r="A26" s="250"/>
      <c r="B26" s="138" t="s">
        <v>343</v>
      </c>
      <c r="C26" s="142"/>
      <c r="D26" s="142">
        <f>198200*1.12-65984</f>
        <v>156000.00000000003</v>
      </c>
      <c r="E26" s="142">
        <f t="shared" si="2"/>
        <v>156000.00000000003</v>
      </c>
      <c r="F26" s="142">
        <f>D26</f>
        <v>156000.00000000003</v>
      </c>
      <c r="G26" s="142">
        <v>156000</v>
      </c>
      <c r="H26" s="142">
        <f>G26</f>
        <v>156000</v>
      </c>
      <c r="I26" s="134">
        <v>0</v>
      </c>
      <c r="J26" s="134">
        <f>H26</f>
        <v>156000</v>
      </c>
      <c r="K26" s="134">
        <f>F26-J26</f>
        <v>0</v>
      </c>
      <c r="L26" s="355" t="s">
        <v>456</v>
      </c>
      <c r="M26" s="354"/>
    </row>
    <row r="27" spans="1:13" ht="31.5">
      <c r="A27" s="250"/>
      <c r="B27" s="138" t="s">
        <v>462</v>
      </c>
      <c r="C27" s="359"/>
      <c r="D27" s="142">
        <v>4000000</v>
      </c>
      <c r="E27" s="142">
        <f t="shared" si="2"/>
        <v>4000000</v>
      </c>
      <c r="F27" s="142">
        <f>E27</f>
        <v>4000000</v>
      </c>
      <c r="G27" s="142">
        <v>0</v>
      </c>
      <c r="H27" s="142"/>
      <c r="I27" s="134"/>
      <c r="J27" s="134"/>
      <c r="K27" s="134"/>
      <c r="L27" s="355" t="s">
        <v>456</v>
      </c>
      <c r="M27" s="354"/>
    </row>
    <row r="28" spans="1:13" ht="31.5">
      <c r="A28" s="250"/>
      <c r="B28" s="138" t="s">
        <v>463</v>
      </c>
      <c r="C28" s="359"/>
      <c r="D28" s="142">
        <v>1120000</v>
      </c>
      <c r="E28" s="142">
        <f t="shared" si="2"/>
        <v>1120000</v>
      </c>
      <c r="F28" s="142">
        <f>E28</f>
        <v>1120000</v>
      </c>
      <c r="G28" s="142">
        <v>0</v>
      </c>
      <c r="H28" s="142"/>
      <c r="I28" s="134"/>
      <c r="J28" s="134"/>
      <c r="K28" s="134"/>
      <c r="L28" s="355" t="s">
        <v>456</v>
      </c>
      <c r="M28" s="354"/>
    </row>
    <row r="29" spans="1:13" ht="31.5">
      <c r="A29" s="250"/>
      <c r="B29" s="138" t="s">
        <v>464</v>
      </c>
      <c r="C29" s="359"/>
      <c r="D29" s="142">
        <v>604800</v>
      </c>
      <c r="E29" s="142">
        <f t="shared" si="2"/>
        <v>604800</v>
      </c>
      <c r="F29" s="142">
        <f>E29</f>
        <v>604800</v>
      </c>
      <c r="G29" s="142">
        <v>0</v>
      </c>
      <c r="H29" s="142"/>
      <c r="I29" s="134"/>
      <c r="J29" s="134"/>
      <c r="K29" s="134"/>
      <c r="L29" s="355" t="s">
        <v>456</v>
      </c>
      <c r="M29" s="354"/>
    </row>
    <row r="30" spans="1:13" ht="24" customHeight="1">
      <c r="A30" s="360"/>
      <c r="B30" s="356" t="s">
        <v>371</v>
      </c>
      <c r="C30" s="357">
        <f>SUM(C10:C29)+24</f>
        <v>57242313.699999981</v>
      </c>
      <c r="D30" s="357">
        <f>SUM(D10:D29)</f>
        <v>-1174967.2999999989</v>
      </c>
      <c r="E30" s="357">
        <f>SUM(E10:E29)</f>
        <v>56067322.399999984</v>
      </c>
      <c r="F30" s="357">
        <f>SUM(F10:F29)</f>
        <v>45617994.700000003</v>
      </c>
      <c r="G30" s="357">
        <f>SUM(G10:G29)</f>
        <v>22140773.702400003</v>
      </c>
      <c r="H30" s="357">
        <f>SUM(H10:H29)</f>
        <v>15310879.6</v>
      </c>
      <c r="I30" s="357"/>
      <c r="J30" s="357">
        <f>SUM(J10:J26)</f>
        <v>15547565.702400001</v>
      </c>
      <c r="K30" s="357">
        <f>SUM(K10:K26)</f>
        <v>1877662.6175999842</v>
      </c>
      <c r="L30" s="357"/>
      <c r="M30" s="361"/>
    </row>
    <row r="31" spans="1:13" ht="47.25">
      <c r="A31" s="250">
        <v>21</v>
      </c>
      <c r="B31" s="136" t="s">
        <v>47</v>
      </c>
      <c r="C31" s="134">
        <v>897700</v>
      </c>
      <c r="D31" s="134">
        <v>62300</v>
      </c>
      <c r="E31" s="134"/>
      <c r="F31" s="134">
        <v>960000</v>
      </c>
      <c r="G31" s="134">
        <v>960000</v>
      </c>
      <c r="H31" s="134">
        <f>G31/12*8</f>
        <v>640000</v>
      </c>
      <c r="I31" s="134">
        <f>80000*4</f>
        <v>320000</v>
      </c>
      <c r="J31" s="134">
        <f>H31+I31</f>
        <v>960000</v>
      </c>
      <c r="K31" s="134">
        <f>F31-J31</f>
        <v>0</v>
      </c>
      <c r="L31" s="134"/>
      <c r="M31" s="256"/>
    </row>
    <row r="32" spans="1:13" ht="47.25">
      <c r="A32" s="250">
        <v>22</v>
      </c>
      <c r="B32" s="136" t="s">
        <v>48</v>
      </c>
      <c r="C32" s="134">
        <v>233280</v>
      </c>
      <c r="D32" s="134">
        <v>-62300</v>
      </c>
      <c r="E32" s="134"/>
      <c r="F32" s="134">
        <v>171000</v>
      </c>
      <c r="G32" s="134">
        <v>171000</v>
      </c>
      <c r="H32" s="134">
        <f>G32/12*8</f>
        <v>114000</v>
      </c>
      <c r="I32" s="134">
        <f>14250*4</f>
        <v>57000</v>
      </c>
      <c r="J32" s="134">
        <f>H32+I32</f>
        <v>171000</v>
      </c>
      <c r="K32" s="134">
        <f>F32-J32</f>
        <v>0</v>
      </c>
      <c r="L32" s="134"/>
      <c r="M32" s="256"/>
    </row>
    <row r="33" spans="1:13" ht="31.5">
      <c r="A33" s="250">
        <v>23</v>
      </c>
      <c r="B33" s="136" t="s">
        <v>51</v>
      </c>
      <c r="C33" s="134">
        <f>6250000*1.12</f>
        <v>7000000.0000000009</v>
      </c>
      <c r="D33" s="134"/>
      <c r="E33" s="134"/>
      <c r="F33" s="134">
        <f>6250000*1.12</f>
        <v>7000000.0000000009</v>
      </c>
      <c r="G33" s="134">
        <v>0</v>
      </c>
      <c r="H33" s="134">
        <v>0</v>
      </c>
      <c r="I33" s="134"/>
      <c r="J33" s="134"/>
      <c r="K33" s="134"/>
      <c r="L33" s="134"/>
      <c r="M33" s="377" t="s">
        <v>473</v>
      </c>
    </row>
    <row r="34" spans="1:13" ht="110.25">
      <c r="A34" s="250">
        <v>24</v>
      </c>
      <c r="B34" s="136" t="s">
        <v>52</v>
      </c>
      <c r="C34" s="134">
        <f>388392.857142857*1.12</f>
        <v>434999.99999999988</v>
      </c>
      <c r="D34" s="134"/>
      <c r="E34" s="134"/>
      <c r="F34" s="134">
        <f>388392.857142857*1.12</f>
        <v>434999.99999999988</v>
      </c>
      <c r="G34" s="134">
        <v>270358</v>
      </c>
      <c r="H34" s="134">
        <f>39570.58+52646.08+313672.57</f>
        <v>405889.23</v>
      </c>
      <c r="I34" s="134">
        <f>52646.08*4</f>
        <v>210584.32000000001</v>
      </c>
      <c r="J34" s="134">
        <f>H34+I34</f>
        <v>616473.55000000005</v>
      </c>
      <c r="K34" s="134">
        <f>F34-J34</f>
        <v>-181473.55000000016</v>
      </c>
      <c r="L34" s="355" t="s">
        <v>453</v>
      </c>
      <c r="M34" s="376" t="s">
        <v>503</v>
      </c>
    </row>
    <row r="35" spans="1:13" ht="48.75">
      <c r="A35" s="250">
        <v>24</v>
      </c>
      <c r="B35" s="271" t="s">
        <v>53</v>
      </c>
      <c r="C35" s="134">
        <v>286309</v>
      </c>
      <c r="D35" s="134"/>
      <c r="E35" s="134"/>
      <c r="F35" s="134">
        <v>286309</v>
      </c>
      <c r="G35" s="134">
        <v>0</v>
      </c>
      <c r="H35" s="134">
        <v>0</v>
      </c>
      <c r="I35" s="134"/>
      <c r="J35" s="134"/>
      <c r="K35" s="134"/>
      <c r="L35" s="355" t="s">
        <v>457</v>
      </c>
      <c r="M35" s="376" t="s">
        <v>505</v>
      </c>
    </row>
    <row r="36" spans="1:13" ht="47.25">
      <c r="A36" s="250">
        <v>72</v>
      </c>
      <c r="B36" s="138" t="s">
        <v>335</v>
      </c>
      <c r="C36" s="134">
        <v>600000</v>
      </c>
      <c r="D36" s="134">
        <v>600000</v>
      </c>
      <c r="E36" s="134"/>
      <c r="F36" s="134">
        <f>C36+D36</f>
        <v>1200000</v>
      </c>
      <c r="G36" s="134">
        <v>0</v>
      </c>
      <c r="H36" s="134">
        <v>0</v>
      </c>
      <c r="I36" s="134"/>
      <c r="J36" s="134"/>
      <c r="K36" s="134"/>
      <c r="L36" s="355" t="s">
        <v>458</v>
      </c>
      <c r="M36" s="376" t="s">
        <v>504</v>
      </c>
    </row>
    <row r="37" spans="1:13" ht="34.15" customHeight="1">
      <c r="A37" s="250"/>
      <c r="B37" s="138" t="s">
        <v>378</v>
      </c>
      <c r="C37" s="134">
        <v>4200000</v>
      </c>
      <c r="D37" s="134"/>
      <c r="E37" s="134"/>
      <c r="F37" s="134"/>
      <c r="G37" s="134">
        <f>C37</f>
        <v>4200000</v>
      </c>
      <c r="H37" s="134">
        <v>2800000</v>
      </c>
      <c r="I37" s="134"/>
      <c r="J37" s="134">
        <f>H37+350000*4</f>
        <v>4200000</v>
      </c>
      <c r="K37" s="134">
        <f>G37-J37</f>
        <v>0</v>
      </c>
      <c r="L37" s="355" t="s">
        <v>459</v>
      </c>
      <c r="M37" s="354"/>
    </row>
    <row r="38" spans="1:13" ht="31.5">
      <c r="A38" s="360"/>
      <c r="B38" s="356" t="s">
        <v>377</v>
      </c>
      <c r="C38" s="357">
        <f>SUM(C31:C37)</f>
        <v>13652289</v>
      </c>
      <c r="D38" s="358">
        <f>SUM(D31:D37)</f>
        <v>600000</v>
      </c>
      <c r="E38" s="358"/>
      <c r="F38" s="357">
        <f t="shared" ref="F38:K38" si="4">SUM(F31:F37)</f>
        <v>10052309</v>
      </c>
      <c r="G38" s="357">
        <f t="shared" si="4"/>
        <v>5601358</v>
      </c>
      <c r="H38" s="357">
        <f t="shared" si="4"/>
        <v>3959889.23</v>
      </c>
      <c r="I38" s="357">
        <f t="shared" si="4"/>
        <v>587584.32000000007</v>
      </c>
      <c r="J38" s="357">
        <f t="shared" si="4"/>
        <v>5947473.5499999998</v>
      </c>
      <c r="K38" s="357">
        <f t="shared" si="4"/>
        <v>-181473.55000000016</v>
      </c>
      <c r="L38" s="357"/>
      <c r="M38" s="361"/>
    </row>
    <row r="39" spans="1:13" ht="18" customHeight="1">
      <c r="A39" s="103">
        <v>26</v>
      </c>
      <c r="B39" s="137" t="s">
        <v>142</v>
      </c>
      <c r="C39" s="134">
        <v>117119.52</v>
      </c>
      <c r="D39" s="134"/>
      <c r="E39" s="134"/>
      <c r="F39" s="134">
        <v>117119.52</v>
      </c>
      <c r="G39" s="135">
        <v>112425</v>
      </c>
      <c r="H39" s="135">
        <v>0</v>
      </c>
      <c r="I39" s="135">
        <f>G39</f>
        <v>112425</v>
      </c>
      <c r="J39" s="134">
        <f>I39</f>
        <v>112425</v>
      </c>
      <c r="K39" s="134">
        <f>F39-G39</f>
        <v>4694.5200000000041</v>
      </c>
      <c r="L39" s="378" t="s">
        <v>506</v>
      </c>
      <c r="M39" s="380"/>
    </row>
    <row r="40" spans="1:13" ht="15.75">
      <c r="A40" s="103">
        <v>27</v>
      </c>
      <c r="B40" s="137" t="s">
        <v>143</v>
      </c>
      <c r="C40" s="134">
        <v>69418.080000000002</v>
      </c>
      <c r="D40" s="134">
        <f t="shared" ref="D40:D46" si="5">F40-C40</f>
        <v>-5204.0800000000017</v>
      </c>
      <c r="E40" s="134"/>
      <c r="F40" s="134">
        <v>64214</v>
      </c>
      <c r="G40" s="134">
        <v>64214</v>
      </c>
      <c r="H40" s="135">
        <v>36720</v>
      </c>
      <c r="I40" s="135">
        <f>H40</f>
        <v>36720</v>
      </c>
      <c r="J40" s="134">
        <f>I40</f>
        <v>36720</v>
      </c>
      <c r="K40" s="134">
        <f>G40-H40</f>
        <v>27494</v>
      </c>
      <c r="L40" s="378" t="s">
        <v>506</v>
      </c>
      <c r="M40" s="381"/>
    </row>
    <row r="41" spans="1:13" ht="31.5">
      <c r="A41" s="103">
        <v>28</v>
      </c>
      <c r="B41" s="137" t="s">
        <v>195</v>
      </c>
      <c r="C41" s="134">
        <v>159840</v>
      </c>
      <c r="D41" s="134">
        <f t="shared" si="5"/>
        <v>-10972</v>
      </c>
      <c r="E41" s="134"/>
      <c r="F41" s="134">
        <v>148868</v>
      </c>
      <c r="G41" s="134">
        <v>148868</v>
      </c>
      <c r="H41" s="142">
        <f>37217+95482.75</f>
        <v>132699.75</v>
      </c>
      <c r="I41" s="385">
        <v>0</v>
      </c>
      <c r="J41" s="142">
        <f>I41</f>
        <v>0</v>
      </c>
      <c r="K41" s="134">
        <f>G41-H41</f>
        <v>16168.25</v>
      </c>
      <c r="L41" s="378" t="s">
        <v>506</v>
      </c>
      <c r="M41" s="381"/>
    </row>
    <row r="42" spans="1:13" ht="31.5">
      <c r="A42" s="103">
        <v>29</v>
      </c>
      <c r="B42" s="137" t="s">
        <v>178</v>
      </c>
      <c r="C42" s="134">
        <v>54743.040000000001</v>
      </c>
      <c r="D42" s="134">
        <f t="shared" si="5"/>
        <v>-5947.0400000000009</v>
      </c>
      <c r="E42" s="134"/>
      <c r="F42" s="134">
        <v>48796</v>
      </c>
      <c r="G42" s="134">
        <v>48796</v>
      </c>
      <c r="H42" s="142">
        <v>22877</v>
      </c>
      <c r="I42" s="385">
        <v>25919</v>
      </c>
      <c r="J42" s="142">
        <f>H42+I42</f>
        <v>48796</v>
      </c>
      <c r="K42" s="134">
        <f t="shared" ref="K42:K51" si="6">G42-J42</f>
        <v>0</v>
      </c>
      <c r="L42" s="378" t="s">
        <v>506</v>
      </c>
      <c r="M42" s="381"/>
    </row>
    <row r="43" spans="1:13" ht="31.5">
      <c r="A43" s="103">
        <v>30</v>
      </c>
      <c r="B43" s="137" t="s">
        <v>179</v>
      </c>
      <c r="C43" s="134">
        <v>75129.119999999995</v>
      </c>
      <c r="D43" s="134">
        <f t="shared" si="5"/>
        <v>-9435.1199999999953</v>
      </c>
      <c r="E43" s="134"/>
      <c r="F43" s="134">
        <v>65694</v>
      </c>
      <c r="G43" s="134">
        <v>65694</v>
      </c>
      <c r="H43" s="142">
        <v>32847</v>
      </c>
      <c r="I43" s="142">
        <v>32847</v>
      </c>
      <c r="J43" s="142">
        <f>H43+I43</f>
        <v>65694</v>
      </c>
      <c r="K43" s="134">
        <f t="shared" si="6"/>
        <v>0</v>
      </c>
      <c r="L43" s="378" t="s">
        <v>506</v>
      </c>
      <c r="M43" s="381"/>
    </row>
    <row r="44" spans="1:13" ht="47.25">
      <c r="A44" s="103">
        <v>31</v>
      </c>
      <c r="B44" s="137" t="s">
        <v>174</v>
      </c>
      <c r="C44" s="134">
        <v>110484</v>
      </c>
      <c r="D44" s="134">
        <f t="shared" si="5"/>
        <v>-11440</v>
      </c>
      <c r="E44" s="134"/>
      <c r="F44" s="134">
        <v>99044</v>
      </c>
      <c r="G44" s="134">
        <v>99044</v>
      </c>
      <c r="H44" s="142">
        <v>49522</v>
      </c>
      <c r="I44" s="142">
        <f>H44</f>
        <v>49522</v>
      </c>
      <c r="J44" s="142">
        <f>H44+I44</f>
        <v>99044</v>
      </c>
      <c r="K44" s="134">
        <f t="shared" si="6"/>
        <v>0</v>
      </c>
      <c r="L44" s="378" t="s">
        <v>506</v>
      </c>
      <c r="M44" s="381"/>
    </row>
    <row r="45" spans="1:13" ht="47.25">
      <c r="A45" s="103">
        <v>32</v>
      </c>
      <c r="B45" s="137" t="s">
        <v>175</v>
      </c>
      <c r="C45" s="134">
        <v>110484</v>
      </c>
      <c r="D45" s="134">
        <f t="shared" si="5"/>
        <v>-11440</v>
      </c>
      <c r="E45" s="134"/>
      <c r="F45" s="134">
        <v>99044</v>
      </c>
      <c r="G45" s="134">
        <v>99044</v>
      </c>
      <c r="H45" s="142">
        <v>49522</v>
      </c>
      <c r="I45" s="142">
        <f>H45</f>
        <v>49522</v>
      </c>
      <c r="J45" s="142">
        <f>H45+I45</f>
        <v>99044</v>
      </c>
      <c r="K45" s="134">
        <f t="shared" si="6"/>
        <v>0</v>
      </c>
      <c r="L45" s="378" t="s">
        <v>506</v>
      </c>
      <c r="M45" s="381"/>
    </row>
    <row r="46" spans="1:13" ht="47.25">
      <c r="A46" s="103">
        <v>33</v>
      </c>
      <c r="B46" s="137" t="s">
        <v>176</v>
      </c>
      <c r="C46" s="134">
        <v>110484</v>
      </c>
      <c r="D46" s="134">
        <f t="shared" si="5"/>
        <v>-11440</v>
      </c>
      <c r="E46" s="134"/>
      <c r="F46" s="134">
        <v>99044</v>
      </c>
      <c r="G46" s="134">
        <v>99044</v>
      </c>
      <c r="H46" s="142">
        <v>49522</v>
      </c>
      <c r="I46" s="142">
        <f>H46</f>
        <v>49522</v>
      </c>
      <c r="J46" s="142">
        <f>H46+I46</f>
        <v>99044</v>
      </c>
      <c r="K46" s="134">
        <f t="shared" si="6"/>
        <v>0</v>
      </c>
      <c r="L46" s="378" t="s">
        <v>506</v>
      </c>
      <c r="M46" s="381"/>
    </row>
    <row r="47" spans="1:13" ht="31.5">
      <c r="A47" s="103">
        <v>34</v>
      </c>
      <c r="B47" s="137" t="s">
        <v>181</v>
      </c>
      <c r="C47" s="134">
        <v>31739.040000000001</v>
      </c>
      <c r="D47" s="134"/>
      <c r="E47" s="134"/>
      <c r="F47" s="134">
        <v>31739.040000000001</v>
      </c>
      <c r="G47" s="134">
        <v>28708</v>
      </c>
      <c r="H47" s="142">
        <v>0</v>
      </c>
      <c r="I47" s="142">
        <f>G47</f>
        <v>28708</v>
      </c>
      <c r="J47" s="142">
        <f>I47</f>
        <v>28708</v>
      </c>
      <c r="K47" s="142">
        <f t="shared" si="6"/>
        <v>0</v>
      </c>
      <c r="L47" s="378" t="s">
        <v>506</v>
      </c>
      <c r="M47" s="381"/>
    </row>
    <row r="48" spans="1:13" ht="31.5">
      <c r="A48" s="103">
        <v>35</v>
      </c>
      <c r="B48" s="137" t="s">
        <v>182</v>
      </c>
      <c r="C48" s="134">
        <v>47005.919999999998</v>
      </c>
      <c r="D48" s="134">
        <v>-4735.92</v>
      </c>
      <c r="E48" s="134"/>
      <c r="F48" s="134">
        <f>C48+D48</f>
        <v>42270</v>
      </c>
      <c r="G48" s="134">
        <v>42270</v>
      </c>
      <c r="H48" s="142">
        <v>14240</v>
      </c>
      <c r="I48" s="142">
        <f>H48</f>
        <v>14240</v>
      </c>
      <c r="J48" s="142">
        <f t="shared" ref="J48:J68" si="7">I48+H48</f>
        <v>28480</v>
      </c>
      <c r="K48" s="142">
        <f t="shared" si="6"/>
        <v>13790</v>
      </c>
      <c r="L48" s="378" t="s">
        <v>506</v>
      </c>
      <c r="M48" s="381"/>
    </row>
    <row r="49" spans="1:13" ht="31.5">
      <c r="A49" s="103">
        <v>36</v>
      </c>
      <c r="B49" s="137" t="s">
        <v>180</v>
      </c>
      <c r="C49" s="134">
        <v>54237.599999999999</v>
      </c>
      <c r="D49" s="134">
        <f>F49-C49</f>
        <v>-5655.5999999999985</v>
      </c>
      <c r="E49" s="134"/>
      <c r="F49" s="134">
        <v>48582</v>
      </c>
      <c r="G49" s="134">
        <v>48582</v>
      </c>
      <c r="H49" s="142">
        <f>16194</f>
        <v>16194</v>
      </c>
      <c r="I49" s="142">
        <f>H49</f>
        <v>16194</v>
      </c>
      <c r="J49" s="142">
        <f t="shared" si="7"/>
        <v>32388</v>
      </c>
      <c r="K49" s="142">
        <f t="shared" si="6"/>
        <v>16194</v>
      </c>
      <c r="L49" s="378" t="s">
        <v>506</v>
      </c>
      <c r="M49" s="381"/>
    </row>
    <row r="50" spans="1:13" ht="31.5">
      <c r="A50" s="103">
        <v>37</v>
      </c>
      <c r="B50" s="137" t="s">
        <v>177</v>
      </c>
      <c r="C50" s="134">
        <v>150266.88</v>
      </c>
      <c r="D50" s="134"/>
      <c r="E50" s="134"/>
      <c r="F50" s="134">
        <v>150266.88</v>
      </c>
      <c r="G50" s="134">
        <v>141892</v>
      </c>
      <c r="H50" s="142">
        <f>35473+70814</f>
        <v>106287</v>
      </c>
      <c r="I50" s="142">
        <f>G50-H50</f>
        <v>35605</v>
      </c>
      <c r="J50" s="142">
        <f t="shared" si="7"/>
        <v>141892</v>
      </c>
      <c r="K50" s="142">
        <f t="shared" si="6"/>
        <v>0</v>
      </c>
      <c r="L50" s="378" t="s">
        <v>506</v>
      </c>
      <c r="M50" s="381"/>
    </row>
    <row r="51" spans="1:13" ht="31.5">
      <c r="A51" s="103">
        <v>38</v>
      </c>
      <c r="B51" s="137" t="s">
        <v>144</v>
      </c>
      <c r="C51" s="134">
        <v>22870.080000000002</v>
      </c>
      <c r="D51" s="134">
        <f>F51-C51</f>
        <v>-10066.080000000002</v>
      </c>
      <c r="E51" s="134"/>
      <c r="F51" s="134">
        <v>12804</v>
      </c>
      <c r="G51" s="134">
        <v>12804</v>
      </c>
      <c r="H51" s="142">
        <v>0</v>
      </c>
      <c r="I51" s="142">
        <f>G51</f>
        <v>12804</v>
      </c>
      <c r="J51" s="142">
        <f t="shared" si="7"/>
        <v>12804</v>
      </c>
      <c r="K51" s="142">
        <f t="shared" si="6"/>
        <v>0</v>
      </c>
      <c r="L51" s="378" t="s">
        <v>506</v>
      </c>
      <c r="M51" s="381"/>
    </row>
    <row r="52" spans="1:13" ht="31.5">
      <c r="A52" s="103">
        <v>39</v>
      </c>
      <c r="B52" s="137" t="s">
        <v>145</v>
      </c>
      <c r="C52" s="134">
        <v>90720</v>
      </c>
      <c r="D52" s="134"/>
      <c r="E52" s="134"/>
      <c r="F52" s="134">
        <v>90720</v>
      </c>
      <c r="G52" s="134">
        <v>73872</v>
      </c>
      <c r="H52" s="142">
        <v>0</v>
      </c>
      <c r="I52" s="142">
        <f>G52</f>
        <v>73872</v>
      </c>
      <c r="J52" s="142">
        <f t="shared" si="7"/>
        <v>73872</v>
      </c>
      <c r="K52" s="142">
        <f t="shared" ref="K52:K99" si="8">F52-J52</f>
        <v>16848</v>
      </c>
      <c r="L52" s="378" t="s">
        <v>506</v>
      </c>
      <c r="M52" s="381"/>
    </row>
    <row r="53" spans="1:13" ht="31.5">
      <c r="A53" s="103">
        <v>40</v>
      </c>
      <c r="B53" s="137" t="s">
        <v>147</v>
      </c>
      <c r="C53" s="134">
        <v>52455.6</v>
      </c>
      <c r="D53" s="134"/>
      <c r="E53" s="134"/>
      <c r="F53" s="134">
        <v>52455.6</v>
      </c>
      <c r="G53" s="134"/>
      <c r="H53" s="142">
        <f>G53</f>
        <v>0</v>
      </c>
      <c r="I53" s="142">
        <f>F53</f>
        <v>52455.6</v>
      </c>
      <c r="J53" s="142">
        <f t="shared" si="7"/>
        <v>52455.6</v>
      </c>
      <c r="K53" s="142">
        <f t="shared" si="8"/>
        <v>0</v>
      </c>
      <c r="L53" s="378" t="s">
        <v>506</v>
      </c>
      <c r="M53" s="381"/>
    </row>
    <row r="54" spans="1:13" ht="31.5">
      <c r="A54" s="103">
        <v>41</v>
      </c>
      <c r="B54" s="137" t="s">
        <v>146</v>
      </c>
      <c r="C54" s="134">
        <v>59111.64</v>
      </c>
      <c r="D54" s="134"/>
      <c r="E54" s="134"/>
      <c r="F54" s="134">
        <v>59111.64</v>
      </c>
      <c r="G54" s="134">
        <v>40426</v>
      </c>
      <c r="H54" s="142">
        <v>0</v>
      </c>
      <c r="I54" s="142">
        <f>G54</f>
        <v>40426</v>
      </c>
      <c r="J54" s="142">
        <f t="shared" si="7"/>
        <v>40426</v>
      </c>
      <c r="K54" s="142">
        <f t="shared" si="8"/>
        <v>18685.64</v>
      </c>
      <c r="L54" s="378" t="s">
        <v>506</v>
      </c>
      <c r="M54" s="381"/>
    </row>
    <row r="55" spans="1:13" ht="31.5">
      <c r="A55" s="103">
        <v>42</v>
      </c>
      <c r="B55" s="136" t="s">
        <v>138</v>
      </c>
      <c r="C55" s="134">
        <v>150000</v>
      </c>
      <c r="D55" s="142">
        <f>F55-C55</f>
        <v>-9000</v>
      </c>
      <c r="E55" s="142"/>
      <c r="F55" s="134">
        <v>141000</v>
      </c>
      <c r="G55" s="134">
        <v>141000</v>
      </c>
      <c r="H55" s="142">
        <v>111660</v>
      </c>
      <c r="I55" s="142">
        <f>G55-H55</f>
        <v>29340</v>
      </c>
      <c r="J55" s="142">
        <f t="shared" si="7"/>
        <v>141000</v>
      </c>
      <c r="K55" s="142">
        <f t="shared" si="8"/>
        <v>0</v>
      </c>
      <c r="L55" s="378" t="s">
        <v>506</v>
      </c>
      <c r="M55" s="381"/>
    </row>
    <row r="56" spans="1:13" ht="19.149999999999999" customHeight="1">
      <c r="A56" s="103">
        <v>43</v>
      </c>
      <c r="B56" s="136" t="s">
        <v>140</v>
      </c>
      <c r="C56" s="134">
        <v>13260</v>
      </c>
      <c r="D56" s="142">
        <f>F56-C56</f>
        <v>-2800</v>
      </c>
      <c r="E56" s="142"/>
      <c r="F56" s="134">
        <v>10460</v>
      </c>
      <c r="G56" s="134">
        <v>9588</v>
      </c>
      <c r="H56" s="142">
        <v>2350</v>
      </c>
      <c r="I56" s="142">
        <f>G56-H56</f>
        <v>7238</v>
      </c>
      <c r="J56" s="142">
        <f t="shared" si="7"/>
        <v>9588</v>
      </c>
      <c r="K56" s="142">
        <f t="shared" si="8"/>
        <v>872</v>
      </c>
      <c r="L56" s="378" t="s">
        <v>506</v>
      </c>
      <c r="M56" s="381"/>
    </row>
    <row r="57" spans="1:13" ht="15.75">
      <c r="A57" s="103">
        <v>44</v>
      </c>
      <c r="B57" s="137" t="s">
        <v>141</v>
      </c>
      <c r="C57" s="134">
        <v>5500</v>
      </c>
      <c r="D57" s="142"/>
      <c r="E57" s="142"/>
      <c r="F57" s="134">
        <v>5500</v>
      </c>
      <c r="G57" s="134">
        <v>5500</v>
      </c>
      <c r="H57" s="142">
        <v>5500</v>
      </c>
      <c r="I57" s="142">
        <f>G57-H57</f>
        <v>0</v>
      </c>
      <c r="J57" s="142">
        <f t="shared" si="7"/>
        <v>5500</v>
      </c>
      <c r="K57" s="142">
        <f t="shared" si="8"/>
        <v>0</v>
      </c>
      <c r="L57" s="378" t="s">
        <v>506</v>
      </c>
      <c r="M57" s="381"/>
    </row>
    <row r="58" spans="1:13" ht="31.5">
      <c r="A58" s="103">
        <v>45</v>
      </c>
      <c r="B58" s="137" t="s">
        <v>172</v>
      </c>
      <c r="C58" s="134">
        <v>3500</v>
      </c>
      <c r="D58" s="142">
        <f>F58-C58</f>
        <v>-500</v>
      </c>
      <c r="E58" s="142"/>
      <c r="F58" s="134">
        <v>3000</v>
      </c>
      <c r="G58" s="134">
        <v>3000</v>
      </c>
      <c r="H58" s="142">
        <f>G58</f>
        <v>3000</v>
      </c>
      <c r="I58" s="142">
        <f>G58-H58</f>
        <v>0</v>
      </c>
      <c r="J58" s="142">
        <f t="shared" si="7"/>
        <v>3000</v>
      </c>
      <c r="K58" s="142">
        <f t="shared" si="8"/>
        <v>0</v>
      </c>
      <c r="L58" s="378" t="s">
        <v>506</v>
      </c>
      <c r="M58" s="381"/>
    </row>
    <row r="59" spans="1:13" ht="15.75">
      <c r="A59" s="103">
        <v>46</v>
      </c>
      <c r="B59" s="137" t="s">
        <v>196</v>
      </c>
      <c r="C59" s="134">
        <v>5000</v>
      </c>
      <c r="D59" s="142"/>
      <c r="E59" s="142"/>
      <c r="F59" s="134">
        <v>5000</v>
      </c>
      <c r="G59" s="134">
        <v>2200</v>
      </c>
      <c r="H59" s="142">
        <v>2200</v>
      </c>
      <c r="I59" s="142">
        <f>G59-H59</f>
        <v>0</v>
      </c>
      <c r="J59" s="142">
        <f t="shared" si="7"/>
        <v>2200</v>
      </c>
      <c r="K59" s="142">
        <f t="shared" si="8"/>
        <v>2800</v>
      </c>
      <c r="L59" s="378" t="s">
        <v>506</v>
      </c>
      <c r="M59" s="381"/>
    </row>
    <row r="60" spans="1:13" ht="15.75">
      <c r="A60" s="103">
        <v>47</v>
      </c>
      <c r="B60" s="137" t="s">
        <v>213</v>
      </c>
      <c r="C60" s="134">
        <v>25000</v>
      </c>
      <c r="D60" s="142"/>
      <c r="E60" s="142"/>
      <c r="F60" s="134">
        <v>25000</v>
      </c>
      <c r="G60" s="134">
        <v>0</v>
      </c>
      <c r="H60" s="142">
        <v>0</v>
      </c>
      <c r="I60" s="142">
        <f>25000</f>
        <v>25000</v>
      </c>
      <c r="J60" s="142">
        <f t="shared" si="7"/>
        <v>25000</v>
      </c>
      <c r="K60" s="142">
        <f t="shared" si="8"/>
        <v>0</v>
      </c>
      <c r="L60" s="378" t="s">
        <v>506</v>
      </c>
      <c r="M60" s="381"/>
    </row>
    <row r="61" spans="1:13" ht="15.75">
      <c r="A61" s="103">
        <v>48</v>
      </c>
      <c r="B61" s="137" t="s">
        <v>214</v>
      </c>
      <c r="C61" s="134">
        <v>24000</v>
      </c>
      <c r="D61" s="142"/>
      <c r="E61" s="142"/>
      <c r="F61" s="134">
        <v>24000</v>
      </c>
      <c r="G61" s="134">
        <v>0</v>
      </c>
      <c r="H61" s="142">
        <v>0</v>
      </c>
      <c r="I61" s="142">
        <v>21700</v>
      </c>
      <c r="J61" s="142">
        <f t="shared" si="7"/>
        <v>21700</v>
      </c>
      <c r="K61" s="142">
        <f t="shared" si="8"/>
        <v>2300</v>
      </c>
      <c r="L61" s="378" t="s">
        <v>506</v>
      </c>
      <c r="M61" s="381"/>
    </row>
    <row r="62" spans="1:13" ht="15.75">
      <c r="A62" s="103">
        <v>49</v>
      </c>
      <c r="B62" s="137" t="s">
        <v>215</v>
      </c>
      <c r="C62" s="134">
        <v>66220</v>
      </c>
      <c r="D62" s="142"/>
      <c r="E62" s="142"/>
      <c r="F62" s="134">
        <v>66220</v>
      </c>
      <c r="G62" s="134">
        <v>0</v>
      </c>
      <c r="H62" s="142">
        <v>0</v>
      </c>
      <c r="I62" s="142">
        <v>63000</v>
      </c>
      <c r="J62" s="142">
        <f t="shared" si="7"/>
        <v>63000</v>
      </c>
      <c r="K62" s="142">
        <f t="shared" si="8"/>
        <v>3220</v>
      </c>
      <c r="L62" s="378" t="s">
        <v>506</v>
      </c>
      <c r="M62" s="381"/>
    </row>
    <row r="63" spans="1:13" ht="15.75">
      <c r="A63" s="103">
        <v>50</v>
      </c>
      <c r="B63" s="137" t="s">
        <v>216</v>
      </c>
      <c r="C63" s="134">
        <v>15000</v>
      </c>
      <c r="D63" s="142">
        <f>F63-C63</f>
        <v>900</v>
      </c>
      <c r="E63" s="142"/>
      <c r="F63" s="134">
        <v>15900</v>
      </c>
      <c r="G63" s="134">
        <v>15900</v>
      </c>
      <c r="H63" s="142">
        <v>15900</v>
      </c>
      <c r="I63" s="142">
        <f>G63-H63</f>
        <v>0</v>
      </c>
      <c r="J63" s="142">
        <f t="shared" si="7"/>
        <v>15900</v>
      </c>
      <c r="K63" s="142">
        <f t="shared" si="8"/>
        <v>0</v>
      </c>
      <c r="L63" s="378" t="s">
        <v>506</v>
      </c>
      <c r="M63" s="381"/>
    </row>
    <row r="64" spans="1:13" ht="15.75">
      <c r="A64" s="103">
        <v>51</v>
      </c>
      <c r="B64" s="137" t="s">
        <v>217</v>
      </c>
      <c r="C64" s="134">
        <v>50000</v>
      </c>
      <c r="D64" s="142">
        <f>F64-C64</f>
        <v>9500</v>
      </c>
      <c r="E64" s="142"/>
      <c r="F64" s="134">
        <v>59500</v>
      </c>
      <c r="G64" s="134">
        <v>59400</v>
      </c>
      <c r="H64" s="142">
        <v>59400</v>
      </c>
      <c r="I64" s="142">
        <f>G64-H64</f>
        <v>0</v>
      </c>
      <c r="J64" s="142">
        <f t="shared" si="7"/>
        <v>59400</v>
      </c>
      <c r="K64" s="142">
        <f t="shared" si="8"/>
        <v>100</v>
      </c>
      <c r="L64" s="378" t="s">
        <v>506</v>
      </c>
      <c r="M64" s="381"/>
    </row>
    <row r="65" spans="1:13" ht="15.75">
      <c r="A65" s="103">
        <v>52</v>
      </c>
      <c r="B65" s="137" t="s">
        <v>218</v>
      </c>
      <c r="C65" s="134">
        <v>7520</v>
      </c>
      <c r="D65" s="142"/>
      <c r="E65" s="142"/>
      <c r="F65" s="134">
        <v>7520</v>
      </c>
      <c r="G65" s="134">
        <v>5500</v>
      </c>
      <c r="H65" s="142">
        <v>5500</v>
      </c>
      <c r="I65" s="142">
        <f>G65-H65</f>
        <v>0</v>
      </c>
      <c r="J65" s="142">
        <f t="shared" si="7"/>
        <v>5500</v>
      </c>
      <c r="K65" s="142">
        <f t="shared" si="8"/>
        <v>2020</v>
      </c>
      <c r="L65" s="378" t="s">
        <v>506</v>
      </c>
      <c r="M65" s="381"/>
    </row>
    <row r="66" spans="1:13" ht="31.5">
      <c r="A66" s="103">
        <v>53</v>
      </c>
      <c r="B66" s="137" t="s">
        <v>219</v>
      </c>
      <c r="C66" s="134">
        <v>35000</v>
      </c>
      <c r="D66" s="142"/>
      <c r="E66" s="142"/>
      <c r="F66" s="134">
        <v>35000</v>
      </c>
      <c r="G66" s="134">
        <v>0</v>
      </c>
      <c r="H66" s="142">
        <v>0</v>
      </c>
      <c r="I66" s="142">
        <v>29800</v>
      </c>
      <c r="J66" s="142">
        <f t="shared" si="7"/>
        <v>29800</v>
      </c>
      <c r="K66" s="142">
        <f t="shared" si="8"/>
        <v>5200</v>
      </c>
      <c r="L66" s="378" t="s">
        <v>506</v>
      </c>
      <c r="M66" s="382"/>
    </row>
    <row r="67" spans="1:13" ht="31.5">
      <c r="A67" s="103">
        <v>54</v>
      </c>
      <c r="B67" s="138" t="s">
        <v>237</v>
      </c>
      <c r="C67" s="134">
        <v>7900</v>
      </c>
      <c r="D67" s="142">
        <f>F67-C67</f>
        <v>-900</v>
      </c>
      <c r="E67" s="142"/>
      <c r="F67" s="134">
        <v>7000</v>
      </c>
      <c r="G67" s="134">
        <v>6500</v>
      </c>
      <c r="H67" s="142">
        <v>1580</v>
      </c>
      <c r="I67" s="142">
        <f>F67-H67</f>
        <v>5420</v>
      </c>
      <c r="J67" s="142">
        <f t="shared" si="7"/>
        <v>7000</v>
      </c>
      <c r="K67" s="142">
        <f t="shared" si="8"/>
        <v>0</v>
      </c>
      <c r="L67" s="378" t="s">
        <v>506</v>
      </c>
      <c r="M67" s="383"/>
    </row>
    <row r="68" spans="1:13" ht="31.5">
      <c r="A68" s="103">
        <v>55</v>
      </c>
      <c r="B68" s="138" t="s">
        <v>235</v>
      </c>
      <c r="C68" s="134">
        <v>260000</v>
      </c>
      <c r="D68" s="142"/>
      <c r="E68" s="142"/>
      <c r="F68" s="134">
        <v>260000</v>
      </c>
      <c r="G68" s="134">
        <v>178000</v>
      </c>
      <c r="H68" s="142">
        <f>33446.84+54325.6</f>
        <v>87772.44</v>
      </c>
      <c r="I68" s="142">
        <f>G68-H68</f>
        <v>90227.56</v>
      </c>
      <c r="J68" s="142">
        <f t="shared" si="7"/>
        <v>178000</v>
      </c>
      <c r="K68" s="142">
        <f t="shared" si="8"/>
        <v>82000</v>
      </c>
      <c r="L68" s="378" t="s">
        <v>506</v>
      </c>
      <c r="M68" s="383"/>
    </row>
    <row r="69" spans="1:13" ht="15.75">
      <c r="A69" s="103">
        <v>56</v>
      </c>
      <c r="B69" s="138" t="s">
        <v>137</v>
      </c>
      <c r="C69" s="134">
        <v>82000</v>
      </c>
      <c r="D69" s="142"/>
      <c r="E69" s="142"/>
      <c r="F69" s="134">
        <v>82000</v>
      </c>
      <c r="G69" s="134">
        <v>78000</v>
      </c>
      <c r="H69" s="142">
        <f>51462.05+27300</f>
        <v>78762.05</v>
      </c>
      <c r="I69" s="142">
        <f t="shared" ref="I69:I77" si="9">F69-H69</f>
        <v>3237.9499999999971</v>
      </c>
      <c r="J69" s="142">
        <f>F69</f>
        <v>82000</v>
      </c>
      <c r="K69" s="142">
        <f t="shared" si="8"/>
        <v>0</v>
      </c>
      <c r="L69" s="378" t="s">
        <v>506</v>
      </c>
      <c r="M69" s="383"/>
    </row>
    <row r="70" spans="1:13" ht="15.75">
      <c r="A70" s="103">
        <v>57</v>
      </c>
      <c r="B70" s="138" t="s">
        <v>127</v>
      </c>
      <c r="C70" s="134">
        <v>10000</v>
      </c>
      <c r="D70" s="142"/>
      <c r="E70" s="142"/>
      <c r="F70" s="134">
        <v>10000</v>
      </c>
      <c r="G70" s="135">
        <v>7000</v>
      </c>
      <c r="H70" s="142">
        <f>3960+2870</f>
        <v>6830</v>
      </c>
      <c r="I70" s="142">
        <f t="shared" si="9"/>
        <v>3170</v>
      </c>
      <c r="J70" s="142">
        <f t="shared" ref="J70:J76" si="10">H70+I70</f>
        <v>10000</v>
      </c>
      <c r="K70" s="142">
        <f t="shared" si="8"/>
        <v>0</v>
      </c>
      <c r="L70" s="378" t="s">
        <v>506</v>
      </c>
      <c r="M70" s="383"/>
    </row>
    <row r="71" spans="1:13" ht="15.75">
      <c r="A71" s="103">
        <v>58</v>
      </c>
      <c r="B71" s="138" t="s">
        <v>150</v>
      </c>
      <c r="C71" s="134">
        <v>1200</v>
      </c>
      <c r="D71" s="142"/>
      <c r="E71" s="142"/>
      <c r="F71" s="134">
        <v>1200</v>
      </c>
      <c r="G71" s="135">
        <v>860</v>
      </c>
      <c r="H71" s="142">
        <f>475+258</f>
        <v>733</v>
      </c>
      <c r="I71" s="142">
        <f t="shared" si="9"/>
        <v>467</v>
      </c>
      <c r="J71" s="142">
        <f t="shared" si="10"/>
        <v>1200</v>
      </c>
      <c r="K71" s="142">
        <f t="shared" si="8"/>
        <v>0</v>
      </c>
      <c r="L71" s="378" t="s">
        <v>506</v>
      </c>
      <c r="M71" s="383"/>
    </row>
    <row r="72" spans="1:13" ht="15.75">
      <c r="A72" s="103">
        <v>59</v>
      </c>
      <c r="B72" s="137" t="s">
        <v>151</v>
      </c>
      <c r="C72" s="134">
        <v>1950</v>
      </c>
      <c r="D72" s="142"/>
      <c r="E72" s="142"/>
      <c r="F72" s="134">
        <v>1950</v>
      </c>
      <c r="G72" s="135">
        <v>1950</v>
      </c>
      <c r="H72" s="142">
        <v>464.4</v>
      </c>
      <c r="I72" s="142">
        <f t="shared" si="9"/>
        <v>1485.6</v>
      </c>
      <c r="J72" s="142">
        <f t="shared" si="10"/>
        <v>1950</v>
      </c>
      <c r="K72" s="142">
        <f t="shared" si="8"/>
        <v>0</v>
      </c>
      <c r="L72" s="378" t="s">
        <v>506</v>
      </c>
      <c r="M72" s="383"/>
    </row>
    <row r="73" spans="1:13" ht="47.25">
      <c r="A73" s="103">
        <v>60</v>
      </c>
      <c r="B73" s="137" t="s">
        <v>130</v>
      </c>
      <c r="C73" s="134">
        <v>72000</v>
      </c>
      <c r="D73" s="142"/>
      <c r="E73" s="142"/>
      <c r="F73" s="134">
        <v>72000</v>
      </c>
      <c r="G73" s="134">
        <v>0</v>
      </c>
      <c r="H73" s="142">
        <v>6193.11</v>
      </c>
      <c r="I73" s="142">
        <f t="shared" si="9"/>
        <v>65806.89</v>
      </c>
      <c r="J73" s="142">
        <f t="shared" si="10"/>
        <v>72000</v>
      </c>
      <c r="K73" s="142">
        <f t="shared" si="8"/>
        <v>0</v>
      </c>
      <c r="L73" s="378" t="s">
        <v>506</v>
      </c>
      <c r="M73" s="383"/>
    </row>
    <row r="74" spans="1:13" ht="47.25">
      <c r="A74" s="103">
        <v>61</v>
      </c>
      <c r="B74" s="137" t="s">
        <v>201</v>
      </c>
      <c r="C74" s="134">
        <v>10500</v>
      </c>
      <c r="D74" s="142"/>
      <c r="E74" s="142"/>
      <c r="F74" s="134">
        <v>10500</v>
      </c>
      <c r="G74" s="134">
        <v>0</v>
      </c>
      <c r="H74" s="142">
        <v>0</v>
      </c>
      <c r="I74" s="142">
        <f t="shared" si="9"/>
        <v>10500</v>
      </c>
      <c r="J74" s="142">
        <f t="shared" si="10"/>
        <v>10500</v>
      </c>
      <c r="K74" s="142">
        <f t="shared" si="8"/>
        <v>0</v>
      </c>
      <c r="L74" s="378" t="s">
        <v>506</v>
      </c>
      <c r="M74" s="383"/>
    </row>
    <row r="75" spans="1:13" ht="15.75">
      <c r="A75" s="103">
        <v>62</v>
      </c>
      <c r="B75" s="137" t="s">
        <v>198</v>
      </c>
      <c r="C75" s="134">
        <v>3600</v>
      </c>
      <c r="D75" s="142"/>
      <c r="E75" s="142"/>
      <c r="F75" s="134">
        <v>3600</v>
      </c>
      <c r="G75" s="135">
        <f>50*72</f>
        <v>3600</v>
      </c>
      <c r="H75" s="142">
        <f>1050+1360</f>
        <v>2410</v>
      </c>
      <c r="I75" s="142">
        <f t="shared" si="9"/>
        <v>1190</v>
      </c>
      <c r="J75" s="142">
        <f t="shared" si="10"/>
        <v>3600</v>
      </c>
      <c r="K75" s="142">
        <f t="shared" si="8"/>
        <v>0</v>
      </c>
      <c r="L75" s="378" t="s">
        <v>506</v>
      </c>
      <c r="M75" s="383"/>
    </row>
    <row r="76" spans="1:13" ht="15.75">
      <c r="A76" s="103">
        <v>63</v>
      </c>
      <c r="B76" s="138" t="s">
        <v>149</v>
      </c>
      <c r="C76" s="134">
        <v>1200</v>
      </c>
      <c r="D76" s="142"/>
      <c r="E76" s="142"/>
      <c r="F76" s="134">
        <v>1200</v>
      </c>
      <c r="G76" s="135">
        <v>1200</v>
      </c>
      <c r="H76" s="142">
        <v>60</v>
      </c>
      <c r="I76" s="142">
        <f t="shared" si="9"/>
        <v>1140</v>
      </c>
      <c r="J76" s="142">
        <f t="shared" si="10"/>
        <v>1200</v>
      </c>
      <c r="K76" s="142">
        <f t="shared" si="8"/>
        <v>0</v>
      </c>
      <c r="L76" s="378" t="s">
        <v>506</v>
      </c>
      <c r="M76" s="383"/>
    </row>
    <row r="77" spans="1:13" ht="15.75">
      <c r="A77" s="103">
        <v>64</v>
      </c>
      <c r="B77" s="137" t="s">
        <v>203</v>
      </c>
      <c r="C77" s="134">
        <v>8900</v>
      </c>
      <c r="D77" s="142"/>
      <c r="E77" s="142"/>
      <c r="F77" s="134">
        <v>8900</v>
      </c>
      <c r="G77" s="135">
        <v>8000</v>
      </c>
      <c r="H77" s="142">
        <f>660+416</f>
        <v>1076</v>
      </c>
      <c r="I77" s="142">
        <f t="shared" si="9"/>
        <v>7824</v>
      </c>
      <c r="J77" s="142">
        <f t="shared" ref="J77:J97" si="11">H77+I77</f>
        <v>8900</v>
      </c>
      <c r="K77" s="142">
        <f t="shared" si="8"/>
        <v>0</v>
      </c>
      <c r="L77" s="378" t="s">
        <v>506</v>
      </c>
      <c r="M77" s="383"/>
    </row>
    <row r="78" spans="1:13" ht="15.75">
      <c r="A78" s="103">
        <v>65</v>
      </c>
      <c r="B78" s="137" t="s">
        <v>204</v>
      </c>
      <c r="C78" s="134">
        <v>19000</v>
      </c>
      <c r="D78" s="142"/>
      <c r="E78" s="142"/>
      <c r="F78" s="134">
        <v>19000</v>
      </c>
      <c r="G78" s="135">
        <v>15000</v>
      </c>
      <c r="H78" s="142">
        <f>712.5+1785+825</f>
        <v>3322.5</v>
      </c>
      <c r="I78" s="142">
        <v>0</v>
      </c>
      <c r="J78" s="142">
        <f t="shared" si="11"/>
        <v>3322.5</v>
      </c>
      <c r="K78" s="142">
        <f t="shared" si="8"/>
        <v>15677.5</v>
      </c>
      <c r="L78" s="378" t="s">
        <v>506</v>
      </c>
      <c r="M78" s="383"/>
    </row>
    <row r="79" spans="1:13" ht="15.75">
      <c r="A79" s="103">
        <v>66</v>
      </c>
      <c r="B79" s="137" t="s">
        <v>205</v>
      </c>
      <c r="C79" s="134">
        <v>9750</v>
      </c>
      <c r="D79" s="142"/>
      <c r="E79" s="142"/>
      <c r="F79" s="134">
        <v>9750</v>
      </c>
      <c r="G79" s="135">
        <v>9750</v>
      </c>
      <c r="H79" s="142">
        <f>3575+6175</f>
        <v>9750</v>
      </c>
      <c r="I79" s="142">
        <f t="shared" ref="I79:I86" si="12">F79-H79</f>
        <v>0</v>
      </c>
      <c r="J79" s="142">
        <f t="shared" si="11"/>
        <v>9750</v>
      </c>
      <c r="K79" s="142">
        <f t="shared" si="8"/>
        <v>0</v>
      </c>
      <c r="L79" s="378" t="s">
        <v>506</v>
      </c>
      <c r="M79" s="383"/>
    </row>
    <row r="80" spans="1:13" ht="31.5">
      <c r="A80" s="103">
        <v>67</v>
      </c>
      <c r="B80" s="138" t="s">
        <v>206</v>
      </c>
      <c r="C80" s="134">
        <v>9750</v>
      </c>
      <c r="D80" s="142"/>
      <c r="E80" s="142"/>
      <c r="F80" s="134">
        <v>9750</v>
      </c>
      <c r="G80" s="385">
        <v>9750</v>
      </c>
      <c r="H80" s="142">
        <f>975+6510</f>
        <v>7485</v>
      </c>
      <c r="I80" s="142">
        <f t="shared" si="12"/>
        <v>2265</v>
      </c>
      <c r="J80" s="142">
        <f t="shared" si="11"/>
        <v>9750</v>
      </c>
      <c r="K80" s="142">
        <f t="shared" si="8"/>
        <v>0</v>
      </c>
      <c r="L80" s="378" t="s">
        <v>506</v>
      </c>
      <c r="M80" s="383"/>
    </row>
    <row r="81" spans="1:13" ht="31.5">
      <c r="A81" s="103">
        <v>68</v>
      </c>
      <c r="B81" s="138" t="s">
        <v>148</v>
      </c>
      <c r="C81" s="134">
        <v>4000</v>
      </c>
      <c r="D81" s="142"/>
      <c r="E81" s="142"/>
      <c r="F81" s="134">
        <v>4000</v>
      </c>
      <c r="G81" s="385">
        <f>100*25</f>
        <v>2500</v>
      </c>
      <c r="H81" s="142">
        <v>455.58</v>
      </c>
      <c r="I81" s="142">
        <f t="shared" si="12"/>
        <v>3544.42</v>
      </c>
      <c r="J81" s="142">
        <f t="shared" si="11"/>
        <v>4000</v>
      </c>
      <c r="K81" s="142">
        <f t="shared" si="8"/>
        <v>0</v>
      </c>
      <c r="L81" s="378" t="s">
        <v>506</v>
      </c>
      <c r="M81" s="383"/>
    </row>
    <row r="82" spans="1:13" ht="31.5">
      <c r="A82" s="103">
        <v>69</v>
      </c>
      <c r="B82" s="138" t="s">
        <v>207</v>
      </c>
      <c r="C82" s="134">
        <v>13500</v>
      </c>
      <c r="D82" s="142"/>
      <c r="E82" s="142"/>
      <c r="F82" s="134">
        <v>13500</v>
      </c>
      <c r="G82" s="135">
        <v>13000</v>
      </c>
      <c r="H82" s="142">
        <f>4926.4+125</f>
        <v>5051.3999999999996</v>
      </c>
      <c r="I82" s="142">
        <f t="shared" si="12"/>
        <v>8448.6</v>
      </c>
      <c r="J82" s="142">
        <f t="shared" si="11"/>
        <v>13500</v>
      </c>
      <c r="K82" s="142">
        <f t="shared" si="8"/>
        <v>0</v>
      </c>
      <c r="L82" s="378" t="s">
        <v>506</v>
      </c>
      <c r="M82" s="383"/>
    </row>
    <row r="83" spans="1:13" ht="15.75">
      <c r="A83" s="103">
        <v>70</v>
      </c>
      <c r="B83" s="138" t="s">
        <v>131</v>
      </c>
      <c r="C83" s="134">
        <v>16600</v>
      </c>
      <c r="D83" s="142"/>
      <c r="E83" s="142"/>
      <c r="F83" s="134">
        <v>16600</v>
      </c>
      <c r="G83" s="135">
        <v>16600</v>
      </c>
      <c r="H83" s="142">
        <f>664+555</f>
        <v>1219</v>
      </c>
      <c r="I83" s="142">
        <f t="shared" si="12"/>
        <v>15381</v>
      </c>
      <c r="J83" s="142">
        <f t="shared" si="11"/>
        <v>16600</v>
      </c>
      <c r="K83" s="142">
        <f t="shared" si="8"/>
        <v>0</v>
      </c>
      <c r="L83" s="378" t="s">
        <v>506</v>
      </c>
      <c r="M83" s="383"/>
    </row>
    <row r="84" spans="1:13" ht="15.75">
      <c r="A84" s="103">
        <v>71</v>
      </c>
      <c r="B84" s="138" t="s">
        <v>132</v>
      </c>
      <c r="C84" s="134">
        <v>20000</v>
      </c>
      <c r="D84" s="142"/>
      <c r="E84" s="142"/>
      <c r="F84" s="134">
        <v>20000</v>
      </c>
      <c r="G84" s="135">
        <v>19000</v>
      </c>
      <c r="H84" s="142">
        <f>3372.95+960+408.62+495+1480+510</f>
        <v>7226.57</v>
      </c>
      <c r="I84" s="142">
        <f t="shared" si="12"/>
        <v>12773.43</v>
      </c>
      <c r="J84" s="142">
        <f t="shared" si="11"/>
        <v>20000</v>
      </c>
      <c r="K84" s="142">
        <f t="shared" si="8"/>
        <v>0</v>
      </c>
      <c r="L84" s="378" t="s">
        <v>506</v>
      </c>
      <c r="M84" s="383"/>
    </row>
    <row r="85" spans="1:13" ht="15.75">
      <c r="A85" s="103">
        <v>72</v>
      </c>
      <c r="B85" s="137" t="s">
        <v>211</v>
      </c>
      <c r="C85" s="134">
        <v>3500</v>
      </c>
      <c r="D85" s="142"/>
      <c r="E85" s="142"/>
      <c r="F85" s="134">
        <v>3500</v>
      </c>
      <c r="G85" s="135">
        <v>3400</v>
      </c>
      <c r="H85" s="142">
        <v>471.13</v>
      </c>
      <c r="I85" s="142">
        <f t="shared" si="12"/>
        <v>3028.87</v>
      </c>
      <c r="J85" s="142">
        <f t="shared" si="11"/>
        <v>3500</v>
      </c>
      <c r="K85" s="142">
        <f t="shared" si="8"/>
        <v>0</v>
      </c>
      <c r="L85" s="378" t="s">
        <v>506</v>
      </c>
      <c r="M85" s="383"/>
    </row>
    <row r="86" spans="1:13" ht="15.75">
      <c r="A86" s="103">
        <v>73</v>
      </c>
      <c r="B86" s="138" t="s">
        <v>152</v>
      </c>
      <c r="C86" s="134">
        <v>7000</v>
      </c>
      <c r="D86" s="142"/>
      <c r="E86" s="142"/>
      <c r="F86" s="134">
        <v>7000</v>
      </c>
      <c r="G86" s="135">
        <v>5200</v>
      </c>
      <c r="H86" s="142">
        <v>3900</v>
      </c>
      <c r="I86" s="142">
        <f t="shared" si="12"/>
        <v>3100</v>
      </c>
      <c r="J86" s="142">
        <f t="shared" si="11"/>
        <v>7000</v>
      </c>
      <c r="K86" s="142">
        <f t="shared" si="8"/>
        <v>0</v>
      </c>
      <c r="L86" s="378" t="s">
        <v>506</v>
      </c>
      <c r="M86" s="383"/>
    </row>
    <row r="87" spans="1:13" ht="63">
      <c r="A87" s="103">
        <v>74</v>
      </c>
      <c r="B87" s="138" t="s">
        <v>208</v>
      </c>
      <c r="C87" s="134">
        <v>4000</v>
      </c>
      <c r="D87" s="142"/>
      <c r="E87" s="142"/>
      <c r="F87" s="134">
        <v>4000</v>
      </c>
      <c r="G87" s="134">
        <v>2700</v>
      </c>
      <c r="H87" s="142">
        <f>405+5880</f>
        <v>6285</v>
      </c>
      <c r="I87" s="142">
        <v>0</v>
      </c>
      <c r="J87" s="142">
        <f t="shared" si="11"/>
        <v>6285</v>
      </c>
      <c r="K87" s="142">
        <f t="shared" si="8"/>
        <v>-2285</v>
      </c>
      <c r="L87" s="378" t="s">
        <v>506</v>
      </c>
      <c r="M87" s="383"/>
    </row>
    <row r="88" spans="1:13" ht="15.75">
      <c r="A88" s="103">
        <v>75</v>
      </c>
      <c r="B88" s="137" t="s">
        <v>133</v>
      </c>
      <c r="C88" s="134">
        <v>520</v>
      </c>
      <c r="D88" s="134"/>
      <c r="E88" s="134"/>
      <c r="F88" s="134">
        <v>520</v>
      </c>
      <c r="G88" s="135">
        <v>520</v>
      </c>
      <c r="H88" s="142">
        <v>210</v>
      </c>
      <c r="I88" s="142">
        <f>G88-H88</f>
        <v>310</v>
      </c>
      <c r="J88" s="142">
        <f t="shared" si="11"/>
        <v>520</v>
      </c>
      <c r="K88" s="142">
        <f t="shared" si="8"/>
        <v>0</v>
      </c>
      <c r="L88" s="378" t="s">
        <v>506</v>
      </c>
      <c r="M88" s="383"/>
    </row>
    <row r="89" spans="1:13" ht="15.75">
      <c r="A89" s="103">
        <v>76</v>
      </c>
      <c r="B89" s="137" t="s">
        <v>212</v>
      </c>
      <c r="C89" s="134">
        <v>2100</v>
      </c>
      <c r="D89" s="134"/>
      <c r="E89" s="134"/>
      <c r="F89" s="134">
        <v>2100</v>
      </c>
      <c r="G89" s="135">
        <v>2100</v>
      </c>
      <c r="H89" s="142">
        <f>828.75+210</f>
        <v>1038.75</v>
      </c>
      <c r="I89" s="142">
        <f>G89-H89</f>
        <v>1061.25</v>
      </c>
      <c r="J89" s="142">
        <f t="shared" si="11"/>
        <v>2100</v>
      </c>
      <c r="K89" s="142">
        <f t="shared" si="8"/>
        <v>0</v>
      </c>
      <c r="L89" s="378" t="s">
        <v>506</v>
      </c>
      <c r="M89" s="383"/>
    </row>
    <row r="90" spans="1:13" ht="15.75">
      <c r="A90" s="103">
        <v>77</v>
      </c>
      <c r="B90" s="137" t="s">
        <v>134</v>
      </c>
      <c r="C90" s="134">
        <v>6000</v>
      </c>
      <c r="D90" s="134"/>
      <c r="E90" s="134"/>
      <c r="F90" s="134">
        <v>6000</v>
      </c>
      <c r="G90" s="135">
        <v>5200</v>
      </c>
      <c r="H90" s="142">
        <f>2100+1300</f>
        <v>3400</v>
      </c>
      <c r="I90" s="142">
        <v>0</v>
      </c>
      <c r="J90" s="142">
        <f t="shared" si="11"/>
        <v>3400</v>
      </c>
      <c r="K90" s="142">
        <f t="shared" si="8"/>
        <v>2600</v>
      </c>
      <c r="L90" s="378" t="s">
        <v>506</v>
      </c>
      <c r="M90" s="383"/>
    </row>
    <row r="91" spans="1:13" ht="31.5">
      <c r="A91" s="103">
        <v>78</v>
      </c>
      <c r="B91" s="137" t="s">
        <v>209</v>
      </c>
      <c r="C91" s="134">
        <v>8500</v>
      </c>
      <c r="D91" s="134"/>
      <c r="E91" s="134"/>
      <c r="F91" s="134">
        <v>8500</v>
      </c>
      <c r="G91" s="385">
        <v>8500</v>
      </c>
      <c r="H91" s="142">
        <f>510+2938</f>
        <v>3448</v>
      </c>
      <c r="I91" s="142">
        <f>G91-H91</f>
        <v>5052</v>
      </c>
      <c r="J91" s="142">
        <f t="shared" si="11"/>
        <v>8500</v>
      </c>
      <c r="K91" s="142">
        <f t="shared" si="8"/>
        <v>0</v>
      </c>
      <c r="L91" s="378" t="s">
        <v>506</v>
      </c>
      <c r="M91" s="383"/>
    </row>
    <row r="92" spans="1:13" ht="15.75">
      <c r="A92" s="103">
        <v>79</v>
      </c>
      <c r="B92" s="137" t="s">
        <v>210</v>
      </c>
      <c r="C92" s="134">
        <v>2600</v>
      </c>
      <c r="D92" s="134"/>
      <c r="E92" s="134"/>
      <c r="F92" s="134">
        <v>2600</v>
      </c>
      <c r="G92" s="135">
        <v>2200</v>
      </c>
      <c r="H92" s="142">
        <f>352+672.88</f>
        <v>1024.8800000000001</v>
      </c>
      <c r="I92" s="142">
        <f>F92-H92</f>
        <v>1575.12</v>
      </c>
      <c r="J92" s="142">
        <f t="shared" si="11"/>
        <v>2600</v>
      </c>
      <c r="K92" s="142">
        <f t="shared" si="8"/>
        <v>0</v>
      </c>
      <c r="L92" s="378" t="s">
        <v>506</v>
      </c>
      <c r="M92" s="383"/>
    </row>
    <row r="93" spans="1:13" ht="15.75">
      <c r="A93" s="103">
        <v>80</v>
      </c>
      <c r="B93" s="137" t="s">
        <v>135</v>
      </c>
      <c r="C93" s="134">
        <v>200</v>
      </c>
      <c r="D93" s="134"/>
      <c r="E93" s="134"/>
      <c r="F93" s="134">
        <v>200</v>
      </c>
      <c r="G93" s="135">
        <v>200</v>
      </c>
      <c r="H93" s="142">
        <v>329.48</v>
      </c>
      <c r="I93" s="142">
        <f>F93-H93</f>
        <v>-129.48000000000002</v>
      </c>
      <c r="J93" s="142">
        <f t="shared" si="11"/>
        <v>200</v>
      </c>
      <c r="K93" s="142">
        <f t="shared" si="8"/>
        <v>0</v>
      </c>
      <c r="L93" s="378" t="s">
        <v>506</v>
      </c>
      <c r="M93" s="383"/>
    </row>
    <row r="94" spans="1:13" ht="15.75">
      <c r="A94" s="103">
        <v>81</v>
      </c>
      <c r="B94" s="137" t="s">
        <v>136</v>
      </c>
      <c r="C94" s="134">
        <v>750</v>
      </c>
      <c r="D94" s="134"/>
      <c r="E94" s="134"/>
      <c r="F94" s="134">
        <v>750</v>
      </c>
      <c r="G94" s="135">
        <v>750</v>
      </c>
      <c r="H94" s="142"/>
      <c r="I94" s="142">
        <f>F94-H94</f>
        <v>750</v>
      </c>
      <c r="J94" s="142">
        <f t="shared" si="11"/>
        <v>750</v>
      </c>
      <c r="K94" s="142">
        <f t="shared" si="8"/>
        <v>0</v>
      </c>
      <c r="L94" s="378" t="s">
        <v>506</v>
      </c>
      <c r="M94" s="383"/>
    </row>
    <row r="95" spans="1:13" ht="31.5">
      <c r="A95" s="103">
        <v>66</v>
      </c>
      <c r="B95" s="138" t="s">
        <v>315</v>
      </c>
      <c r="C95" s="134"/>
      <c r="D95" s="142">
        <v>2800</v>
      </c>
      <c r="E95" s="142"/>
      <c r="F95" s="134">
        <v>2800</v>
      </c>
      <c r="G95" s="134">
        <v>2800</v>
      </c>
      <c r="H95" s="142">
        <f>G95</f>
        <v>2800</v>
      </c>
      <c r="I95" s="142">
        <f>G95-H95</f>
        <v>0</v>
      </c>
      <c r="J95" s="142">
        <f t="shared" si="11"/>
        <v>2800</v>
      </c>
      <c r="K95" s="142">
        <f t="shared" si="8"/>
        <v>0</v>
      </c>
      <c r="L95" s="378" t="s">
        <v>506</v>
      </c>
      <c r="M95" s="383"/>
    </row>
    <row r="96" spans="1:13" ht="31.5">
      <c r="A96" s="103">
        <v>68</v>
      </c>
      <c r="B96" s="138" t="s">
        <v>326</v>
      </c>
      <c r="C96" s="134"/>
      <c r="D96" s="134">
        <v>8000</v>
      </c>
      <c r="E96" s="134"/>
      <c r="F96" s="134">
        <v>8000</v>
      </c>
      <c r="G96" s="142">
        <v>7500</v>
      </c>
      <c r="H96" s="142">
        <v>7500</v>
      </c>
      <c r="I96" s="142">
        <f>F96-G96</f>
        <v>500</v>
      </c>
      <c r="J96" s="142">
        <f t="shared" si="11"/>
        <v>8000</v>
      </c>
      <c r="K96" s="142">
        <f t="shared" si="8"/>
        <v>0</v>
      </c>
      <c r="L96" s="378" t="s">
        <v>506</v>
      </c>
      <c r="M96" s="383"/>
    </row>
    <row r="97" spans="1:13" ht="15.75">
      <c r="A97" s="103">
        <v>69</v>
      </c>
      <c r="B97" s="138" t="s">
        <v>327</v>
      </c>
      <c r="C97" s="134"/>
      <c r="D97" s="134">
        <v>6600</v>
      </c>
      <c r="E97" s="134"/>
      <c r="F97" s="134">
        <v>6600</v>
      </c>
      <c r="G97" s="135">
        <v>6540</v>
      </c>
      <c r="H97" s="142">
        <v>6540</v>
      </c>
      <c r="I97" s="142">
        <f>G97-H97</f>
        <v>0</v>
      </c>
      <c r="J97" s="142">
        <f t="shared" si="11"/>
        <v>6540</v>
      </c>
      <c r="K97" s="142">
        <f t="shared" si="8"/>
        <v>60</v>
      </c>
      <c r="L97" s="378" t="s">
        <v>506</v>
      </c>
      <c r="M97" s="383"/>
    </row>
    <row r="98" spans="1:13" ht="31.5">
      <c r="A98" s="103">
        <v>70</v>
      </c>
      <c r="B98" s="138" t="s">
        <v>328</v>
      </c>
      <c r="C98" s="134"/>
      <c r="D98" s="134">
        <v>1000</v>
      </c>
      <c r="E98" s="134"/>
      <c r="F98" s="134">
        <v>1000</v>
      </c>
      <c r="G98" s="385">
        <v>1000</v>
      </c>
      <c r="H98" s="142">
        <v>1000</v>
      </c>
      <c r="I98" s="142">
        <f>G98-H98</f>
        <v>0</v>
      </c>
      <c r="J98" s="142">
        <f>H98+I98</f>
        <v>1000</v>
      </c>
      <c r="K98" s="142">
        <f t="shared" si="8"/>
        <v>0</v>
      </c>
      <c r="L98" s="378" t="s">
        <v>506</v>
      </c>
      <c r="M98" s="383"/>
    </row>
    <row r="99" spans="1:13" ht="15.75">
      <c r="A99" s="103">
        <v>71</v>
      </c>
      <c r="B99" s="138" t="s">
        <v>329</v>
      </c>
      <c r="C99" s="134"/>
      <c r="D99" s="134">
        <v>735.84</v>
      </c>
      <c r="E99" s="134"/>
      <c r="F99" s="134">
        <v>735.84</v>
      </c>
      <c r="G99" s="135">
        <v>500</v>
      </c>
      <c r="H99" s="142">
        <v>500</v>
      </c>
      <c r="I99" s="142">
        <f>G99-H99</f>
        <v>0</v>
      </c>
      <c r="J99" s="142">
        <f>H99+I99</f>
        <v>500</v>
      </c>
      <c r="K99" s="142">
        <f t="shared" si="8"/>
        <v>235.84000000000003</v>
      </c>
      <c r="L99" s="378" t="s">
        <v>506</v>
      </c>
      <c r="M99" s="383"/>
    </row>
    <row r="100" spans="1:13" ht="31.5">
      <c r="A100" s="103"/>
      <c r="B100" s="138" t="s">
        <v>393</v>
      </c>
      <c r="C100" s="134"/>
      <c r="D100" s="134"/>
      <c r="E100" s="134"/>
      <c r="F100" s="134"/>
      <c r="G100" s="135"/>
      <c r="H100" s="142">
        <v>156</v>
      </c>
      <c r="I100" s="142">
        <v>0</v>
      </c>
      <c r="J100" s="142">
        <f>H100+I100</f>
        <v>156</v>
      </c>
      <c r="K100" s="142">
        <f>J100-I100-H100</f>
        <v>0</v>
      </c>
      <c r="L100" s="378" t="s">
        <v>506</v>
      </c>
      <c r="M100" s="384"/>
    </row>
    <row r="101" spans="1:13" ht="47.25">
      <c r="A101" s="103"/>
      <c r="B101" s="138" t="s">
        <v>394</v>
      </c>
      <c r="C101" s="134"/>
      <c r="D101" s="134"/>
      <c r="E101" s="134"/>
      <c r="F101" s="134"/>
      <c r="G101" s="135"/>
      <c r="H101" s="142">
        <v>6454</v>
      </c>
      <c r="I101" s="142">
        <v>0</v>
      </c>
      <c r="J101" s="142">
        <f>H101+I101</f>
        <v>6454</v>
      </c>
      <c r="K101" s="142">
        <f>J101-I101-H101</f>
        <v>0</v>
      </c>
      <c r="L101" s="378" t="s">
        <v>506</v>
      </c>
      <c r="M101" s="384"/>
    </row>
    <row r="102" spans="1:13" ht="31.5">
      <c r="A102" s="103"/>
      <c r="B102" s="138" t="s">
        <v>395</v>
      </c>
      <c r="C102" s="134"/>
      <c r="D102" s="134"/>
      <c r="E102" s="134"/>
      <c r="F102" s="134"/>
      <c r="G102" s="135"/>
      <c r="H102" s="142">
        <v>4041</v>
      </c>
      <c r="I102" s="142">
        <v>0</v>
      </c>
      <c r="J102" s="142">
        <f t="shared" ref="J102:J136" si="13">H102+I102</f>
        <v>4041</v>
      </c>
      <c r="K102" s="142">
        <f t="shared" ref="K102:K136" si="14">J102-I102-H102</f>
        <v>0</v>
      </c>
      <c r="L102" s="378" t="s">
        <v>506</v>
      </c>
      <c r="M102" s="384"/>
    </row>
    <row r="103" spans="1:13" ht="47.25">
      <c r="A103" s="103"/>
      <c r="B103" s="138" t="s">
        <v>396</v>
      </c>
      <c r="C103" s="134"/>
      <c r="D103" s="134"/>
      <c r="E103" s="134"/>
      <c r="F103" s="134"/>
      <c r="G103" s="135"/>
      <c r="H103" s="142">
        <v>9500</v>
      </c>
      <c r="I103" s="142">
        <f t="shared" ref="I103:I130" si="15">H103</f>
        <v>9500</v>
      </c>
      <c r="J103" s="142">
        <f t="shared" si="13"/>
        <v>19000</v>
      </c>
      <c r="K103" s="142">
        <f t="shared" si="14"/>
        <v>0</v>
      </c>
      <c r="L103" s="378" t="s">
        <v>506</v>
      </c>
      <c r="M103" s="384"/>
    </row>
    <row r="104" spans="1:13" ht="31.5">
      <c r="A104" s="103"/>
      <c r="B104" s="138" t="s">
        <v>397</v>
      </c>
      <c r="C104" s="134"/>
      <c r="D104" s="134"/>
      <c r="E104" s="134"/>
      <c r="F104" s="134"/>
      <c r="G104" s="135"/>
      <c r="H104" s="142">
        <f>100+275+90+168+28+150+65+98+3320+520+900+65+50+540+169+280+1400</f>
        <v>8218</v>
      </c>
      <c r="I104" s="142">
        <v>0</v>
      </c>
      <c r="J104" s="142">
        <f t="shared" si="13"/>
        <v>8218</v>
      </c>
      <c r="K104" s="142">
        <f t="shared" si="14"/>
        <v>0</v>
      </c>
      <c r="L104" s="378" t="s">
        <v>506</v>
      </c>
      <c r="M104" s="384"/>
    </row>
    <row r="105" spans="1:13" ht="15.75">
      <c r="A105" s="103"/>
      <c r="B105" s="138" t="s">
        <v>398</v>
      </c>
      <c r="C105" s="134"/>
      <c r="D105" s="134"/>
      <c r="E105" s="134"/>
      <c r="F105" s="134"/>
      <c r="G105" s="135"/>
      <c r="H105" s="142">
        <v>166.62</v>
      </c>
      <c r="I105" s="142">
        <f t="shared" si="15"/>
        <v>166.62</v>
      </c>
      <c r="J105" s="142">
        <f t="shared" si="13"/>
        <v>333.24</v>
      </c>
      <c r="K105" s="142">
        <f t="shared" si="14"/>
        <v>0</v>
      </c>
      <c r="L105" s="378" t="s">
        <v>506</v>
      </c>
      <c r="M105" s="384"/>
    </row>
    <row r="106" spans="1:13" ht="31.5">
      <c r="A106" s="103"/>
      <c r="B106" s="138" t="s">
        <v>399</v>
      </c>
      <c r="C106" s="134"/>
      <c r="D106" s="134"/>
      <c r="E106" s="134"/>
      <c r="F106" s="134"/>
      <c r="G106" s="135"/>
      <c r="H106" s="142">
        <v>3825</v>
      </c>
      <c r="I106" s="142">
        <f t="shared" si="15"/>
        <v>3825</v>
      </c>
      <c r="J106" s="142">
        <f t="shared" si="13"/>
        <v>7650</v>
      </c>
      <c r="K106" s="142">
        <f t="shared" si="14"/>
        <v>0</v>
      </c>
      <c r="L106" s="378" t="s">
        <v>506</v>
      </c>
      <c r="M106" s="384"/>
    </row>
    <row r="107" spans="1:13" ht="15.75">
      <c r="A107" s="103"/>
      <c r="B107" s="138" t="s">
        <v>400</v>
      </c>
      <c r="C107" s="134"/>
      <c r="D107" s="134"/>
      <c r="E107" s="134"/>
      <c r="F107" s="134"/>
      <c r="G107" s="135"/>
      <c r="H107" s="142">
        <v>3825</v>
      </c>
      <c r="I107" s="142">
        <f t="shared" si="15"/>
        <v>3825</v>
      </c>
      <c r="J107" s="142">
        <f t="shared" si="13"/>
        <v>7650</v>
      </c>
      <c r="K107" s="142">
        <f t="shared" si="14"/>
        <v>0</v>
      </c>
      <c r="L107" s="378" t="s">
        <v>506</v>
      </c>
      <c r="M107" s="384"/>
    </row>
    <row r="108" spans="1:13" ht="31.5">
      <c r="A108" s="103"/>
      <c r="B108" s="138" t="s">
        <v>401</v>
      </c>
      <c r="C108" s="134"/>
      <c r="D108" s="134"/>
      <c r="E108" s="134"/>
      <c r="F108" s="134"/>
      <c r="G108" s="135"/>
      <c r="H108" s="142">
        <v>2567</v>
      </c>
      <c r="I108" s="142">
        <f t="shared" si="15"/>
        <v>2567</v>
      </c>
      <c r="J108" s="142">
        <f t="shared" si="13"/>
        <v>5134</v>
      </c>
      <c r="K108" s="142">
        <f t="shared" si="14"/>
        <v>0</v>
      </c>
      <c r="L108" s="378" t="s">
        <v>506</v>
      </c>
      <c r="M108" s="384"/>
    </row>
    <row r="109" spans="1:13" ht="31.5">
      <c r="A109" s="103"/>
      <c r="B109" s="138" t="s">
        <v>402</v>
      </c>
      <c r="C109" s="134"/>
      <c r="D109" s="134"/>
      <c r="E109" s="134"/>
      <c r="F109" s="134"/>
      <c r="G109" s="135"/>
      <c r="H109" s="142">
        <v>1800</v>
      </c>
      <c r="I109" s="142">
        <f t="shared" si="15"/>
        <v>1800</v>
      </c>
      <c r="J109" s="142">
        <f t="shared" si="13"/>
        <v>3600</v>
      </c>
      <c r="K109" s="142">
        <f t="shared" si="14"/>
        <v>0</v>
      </c>
      <c r="L109" s="378" t="s">
        <v>506</v>
      </c>
      <c r="M109" s="384"/>
    </row>
    <row r="110" spans="1:13" ht="31.5">
      <c r="A110" s="103"/>
      <c r="B110" s="138" t="s">
        <v>403</v>
      </c>
      <c r="C110" s="134"/>
      <c r="D110" s="134"/>
      <c r="E110" s="134"/>
      <c r="F110" s="134"/>
      <c r="G110" s="135"/>
      <c r="H110" s="142">
        <v>2316</v>
      </c>
      <c r="I110" s="142">
        <f t="shared" si="15"/>
        <v>2316</v>
      </c>
      <c r="J110" s="142">
        <f t="shared" si="13"/>
        <v>4632</v>
      </c>
      <c r="K110" s="142">
        <f t="shared" si="14"/>
        <v>0</v>
      </c>
      <c r="L110" s="378" t="s">
        <v>506</v>
      </c>
      <c r="M110" s="384"/>
    </row>
    <row r="111" spans="1:13" ht="31.5">
      <c r="A111" s="103"/>
      <c r="B111" s="138" t="s">
        <v>404</v>
      </c>
      <c r="C111" s="134"/>
      <c r="D111" s="134"/>
      <c r="E111" s="134"/>
      <c r="F111" s="134"/>
      <c r="G111" s="135"/>
      <c r="H111" s="142">
        <v>3500</v>
      </c>
      <c r="I111" s="142">
        <v>0</v>
      </c>
      <c r="J111" s="142">
        <f t="shared" si="13"/>
        <v>3500</v>
      </c>
      <c r="K111" s="142">
        <f t="shared" si="14"/>
        <v>0</v>
      </c>
      <c r="L111" s="378" t="s">
        <v>506</v>
      </c>
      <c r="M111" s="384"/>
    </row>
    <row r="112" spans="1:13" ht="47.25">
      <c r="A112" s="103"/>
      <c r="B112" s="138" t="s">
        <v>405</v>
      </c>
      <c r="C112" s="134"/>
      <c r="D112" s="134"/>
      <c r="E112" s="134"/>
      <c r="F112" s="134"/>
      <c r="G112" s="135"/>
      <c r="H112" s="142">
        <v>2680</v>
      </c>
      <c r="I112" s="142">
        <v>0</v>
      </c>
      <c r="J112" s="142">
        <f t="shared" si="13"/>
        <v>2680</v>
      </c>
      <c r="K112" s="142">
        <f t="shared" si="14"/>
        <v>0</v>
      </c>
      <c r="L112" s="378" t="s">
        <v>506</v>
      </c>
      <c r="M112" s="384"/>
    </row>
    <row r="113" spans="1:13" ht="15.75">
      <c r="A113" s="103"/>
      <c r="B113" s="138" t="s">
        <v>406</v>
      </c>
      <c r="C113" s="134"/>
      <c r="D113" s="134"/>
      <c r="E113" s="134"/>
      <c r="F113" s="134"/>
      <c r="G113" s="135"/>
      <c r="H113" s="142">
        <v>4735.91</v>
      </c>
      <c r="I113" s="142">
        <v>0</v>
      </c>
      <c r="J113" s="142">
        <f t="shared" si="13"/>
        <v>4735.91</v>
      </c>
      <c r="K113" s="142">
        <f t="shared" si="14"/>
        <v>0</v>
      </c>
      <c r="L113" s="378" t="s">
        <v>506</v>
      </c>
      <c r="M113" s="384"/>
    </row>
    <row r="114" spans="1:13" ht="15.75">
      <c r="A114" s="103"/>
      <c r="B114" s="138" t="s">
        <v>407</v>
      </c>
      <c r="C114" s="134"/>
      <c r="D114" s="134"/>
      <c r="E114" s="134"/>
      <c r="F114" s="134"/>
      <c r="G114" s="135"/>
      <c r="H114" s="142">
        <v>1980</v>
      </c>
      <c r="I114" s="142">
        <v>0</v>
      </c>
      <c r="J114" s="142">
        <f t="shared" si="13"/>
        <v>1980</v>
      </c>
      <c r="K114" s="142">
        <f t="shared" si="14"/>
        <v>0</v>
      </c>
      <c r="L114" s="378" t="s">
        <v>506</v>
      </c>
      <c r="M114" s="384"/>
    </row>
    <row r="115" spans="1:13" ht="15.75">
      <c r="A115" s="103"/>
      <c r="B115" s="138" t="s">
        <v>408</v>
      </c>
      <c r="C115" s="134"/>
      <c r="D115" s="134"/>
      <c r="E115" s="134"/>
      <c r="F115" s="134"/>
      <c r="G115" s="135"/>
      <c r="H115" s="142">
        <v>3184</v>
      </c>
      <c r="I115" s="142">
        <f t="shared" si="15"/>
        <v>3184</v>
      </c>
      <c r="J115" s="142">
        <f t="shared" si="13"/>
        <v>6368</v>
      </c>
      <c r="K115" s="142">
        <f t="shared" si="14"/>
        <v>0</v>
      </c>
      <c r="L115" s="378" t="s">
        <v>506</v>
      </c>
      <c r="M115" s="384"/>
    </row>
    <row r="116" spans="1:13" ht="47.25">
      <c r="A116" s="103"/>
      <c r="B116" s="138" t="s">
        <v>409</v>
      </c>
      <c r="C116" s="134"/>
      <c r="D116" s="134"/>
      <c r="E116" s="134"/>
      <c r="F116" s="134"/>
      <c r="G116" s="135"/>
      <c r="H116" s="142">
        <v>11222</v>
      </c>
      <c r="I116" s="142">
        <v>0</v>
      </c>
      <c r="J116" s="142">
        <f t="shared" si="13"/>
        <v>11222</v>
      </c>
      <c r="K116" s="142">
        <f t="shared" si="14"/>
        <v>0</v>
      </c>
      <c r="L116" s="378" t="s">
        <v>506</v>
      </c>
      <c r="M116" s="384"/>
    </row>
    <row r="117" spans="1:13" ht="15.75">
      <c r="A117" s="103"/>
      <c r="B117" s="138" t="s">
        <v>410</v>
      </c>
      <c r="C117" s="134"/>
      <c r="D117" s="134"/>
      <c r="E117" s="134"/>
      <c r="F117" s="134"/>
      <c r="G117" s="135"/>
      <c r="H117" s="142">
        <v>930</v>
      </c>
      <c r="I117" s="142">
        <f t="shared" si="15"/>
        <v>930</v>
      </c>
      <c r="J117" s="142">
        <f t="shared" si="13"/>
        <v>1860</v>
      </c>
      <c r="K117" s="142">
        <f t="shared" si="14"/>
        <v>0</v>
      </c>
      <c r="L117" s="378" t="s">
        <v>506</v>
      </c>
      <c r="M117" s="384"/>
    </row>
    <row r="118" spans="1:13" ht="15.75">
      <c r="A118" s="103"/>
      <c r="B118" s="138" t="s">
        <v>411</v>
      </c>
      <c r="C118" s="134"/>
      <c r="D118" s="134"/>
      <c r="E118" s="134"/>
      <c r="F118" s="134"/>
      <c r="G118" s="135"/>
      <c r="H118" s="142">
        <v>21550</v>
      </c>
      <c r="I118" s="142">
        <v>0</v>
      </c>
      <c r="J118" s="142">
        <f t="shared" si="13"/>
        <v>21550</v>
      </c>
      <c r="K118" s="142">
        <f t="shared" si="14"/>
        <v>0</v>
      </c>
      <c r="L118" s="378" t="s">
        <v>506</v>
      </c>
      <c r="M118" s="384"/>
    </row>
    <row r="119" spans="1:13" ht="31.5">
      <c r="A119" s="103"/>
      <c r="B119" s="138" t="s">
        <v>412</v>
      </c>
      <c r="C119" s="134"/>
      <c r="D119" s="134"/>
      <c r="E119" s="134"/>
      <c r="F119" s="134"/>
      <c r="G119" s="135"/>
      <c r="H119" s="142">
        <v>1250</v>
      </c>
      <c r="I119" s="142">
        <f t="shared" si="15"/>
        <v>1250</v>
      </c>
      <c r="J119" s="142">
        <f t="shared" si="13"/>
        <v>2500</v>
      </c>
      <c r="K119" s="142">
        <f t="shared" si="14"/>
        <v>0</v>
      </c>
      <c r="L119" s="378" t="s">
        <v>506</v>
      </c>
      <c r="M119" s="384"/>
    </row>
    <row r="120" spans="1:13" ht="31.5">
      <c r="A120" s="103"/>
      <c r="B120" s="138" t="s">
        <v>413</v>
      </c>
      <c r="C120" s="134"/>
      <c r="D120" s="134"/>
      <c r="E120" s="134"/>
      <c r="F120" s="134"/>
      <c r="G120" s="135"/>
      <c r="H120" s="142">
        <v>1250</v>
      </c>
      <c r="I120" s="142">
        <f t="shared" si="15"/>
        <v>1250</v>
      </c>
      <c r="J120" s="142">
        <f t="shared" si="13"/>
        <v>2500</v>
      </c>
      <c r="K120" s="142">
        <f t="shared" si="14"/>
        <v>0</v>
      </c>
      <c r="L120" s="378" t="s">
        <v>506</v>
      </c>
      <c r="M120" s="384"/>
    </row>
    <row r="121" spans="1:13" ht="15.75">
      <c r="A121" s="103"/>
      <c r="B121" s="138" t="s">
        <v>414</v>
      </c>
      <c r="C121" s="134"/>
      <c r="D121" s="134"/>
      <c r="E121" s="134"/>
      <c r="F121" s="134"/>
      <c r="G121" s="135"/>
      <c r="H121" s="142">
        <v>278</v>
      </c>
      <c r="I121" s="142">
        <f t="shared" si="15"/>
        <v>278</v>
      </c>
      <c r="J121" s="142">
        <f t="shared" si="13"/>
        <v>556</v>
      </c>
      <c r="K121" s="142">
        <f t="shared" si="14"/>
        <v>0</v>
      </c>
      <c r="L121" s="378" t="s">
        <v>506</v>
      </c>
      <c r="M121" s="384"/>
    </row>
    <row r="122" spans="1:13" ht="31.5">
      <c r="A122" s="103"/>
      <c r="B122" s="138" t="s">
        <v>415</v>
      </c>
      <c r="C122" s="134"/>
      <c r="D122" s="134"/>
      <c r="E122" s="134"/>
      <c r="F122" s="134"/>
      <c r="G122" s="135"/>
      <c r="H122" s="142">
        <v>630</v>
      </c>
      <c r="I122" s="142">
        <f t="shared" si="15"/>
        <v>630</v>
      </c>
      <c r="J122" s="142">
        <f t="shared" si="13"/>
        <v>1260</v>
      </c>
      <c r="K122" s="142">
        <f t="shared" si="14"/>
        <v>0</v>
      </c>
      <c r="L122" s="378" t="s">
        <v>506</v>
      </c>
      <c r="M122" s="384"/>
    </row>
    <row r="123" spans="1:13" ht="15.75">
      <c r="A123" s="103"/>
      <c r="B123" s="138" t="s">
        <v>416</v>
      </c>
      <c r="C123" s="134"/>
      <c r="D123" s="134"/>
      <c r="E123" s="134"/>
      <c r="F123" s="134"/>
      <c r="G123" s="135"/>
      <c r="H123" s="142">
        <v>196.14</v>
      </c>
      <c r="I123" s="142">
        <v>0</v>
      </c>
      <c r="J123" s="142">
        <f t="shared" si="13"/>
        <v>196.14</v>
      </c>
      <c r="K123" s="142">
        <f t="shared" si="14"/>
        <v>0</v>
      </c>
      <c r="L123" s="378" t="s">
        <v>506</v>
      </c>
      <c r="M123" s="384"/>
    </row>
    <row r="124" spans="1:13" ht="31.5">
      <c r="A124" s="103"/>
      <c r="B124" s="138" t="s">
        <v>417</v>
      </c>
      <c r="C124" s="134"/>
      <c r="D124" s="134"/>
      <c r="E124" s="134"/>
      <c r="F124" s="134"/>
      <c r="G124" s="135"/>
      <c r="H124" s="142">
        <v>4930.3100000000004</v>
      </c>
      <c r="I124" s="142">
        <f t="shared" si="15"/>
        <v>4930.3100000000004</v>
      </c>
      <c r="J124" s="142">
        <f t="shared" si="13"/>
        <v>9860.6200000000008</v>
      </c>
      <c r="K124" s="142">
        <f t="shared" si="14"/>
        <v>0</v>
      </c>
      <c r="L124" s="378" t="s">
        <v>506</v>
      </c>
      <c r="M124" s="384"/>
    </row>
    <row r="125" spans="1:13" ht="15.75">
      <c r="A125" s="103"/>
      <c r="B125" s="138" t="s">
        <v>418</v>
      </c>
      <c r="C125" s="134"/>
      <c r="D125" s="134"/>
      <c r="E125" s="134"/>
      <c r="F125" s="134"/>
      <c r="G125" s="135"/>
      <c r="H125" s="142">
        <v>1347.88</v>
      </c>
      <c r="I125" s="142">
        <f t="shared" si="15"/>
        <v>1347.88</v>
      </c>
      <c r="J125" s="142">
        <f t="shared" si="13"/>
        <v>2695.76</v>
      </c>
      <c r="K125" s="142">
        <f t="shared" si="14"/>
        <v>0</v>
      </c>
      <c r="L125" s="378" t="s">
        <v>506</v>
      </c>
      <c r="M125" s="384"/>
    </row>
    <row r="126" spans="1:13" ht="47.25">
      <c r="A126" s="103"/>
      <c r="B126" s="138" t="s">
        <v>419</v>
      </c>
      <c r="C126" s="134"/>
      <c r="D126" s="134"/>
      <c r="E126" s="134"/>
      <c r="F126" s="134"/>
      <c r="G126" s="135"/>
      <c r="H126" s="142">
        <v>1768</v>
      </c>
      <c r="I126" s="142">
        <v>0</v>
      </c>
      <c r="J126" s="142">
        <f t="shared" si="13"/>
        <v>1768</v>
      </c>
      <c r="K126" s="142">
        <f t="shared" si="14"/>
        <v>0</v>
      </c>
      <c r="L126" s="378" t="s">
        <v>506</v>
      </c>
      <c r="M126" s="384"/>
    </row>
    <row r="127" spans="1:13" ht="15.75">
      <c r="A127" s="103"/>
      <c r="B127" s="138" t="s">
        <v>420</v>
      </c>
      <c r="C127" s="134"/>
      <c r="D127" s="134"/>
      <c r="E127" s="134"/>
      <c r="F127" s="134"/>
      <c r="G127" s="135"/>
      <c r="H127" s="142">
        <v>476.43</v>
      </c>
      <c r="I127" s="142">
        <f t="shared" si="15"/>
        <v>476.43</v>
      </c>
      <c r="J127" s="142">
        <f t="shared" si="13"/>
        <v>952.86</v>
      </c>
      <c r="K127" s="142">
        <f t="shared" si="14"/>
        <v>0</v>
      </c>
      <c r="L127" s="378" t="s">
        <v>506</v>
      </c>
      <c r="M127" s="384"/>
    </row>
    <row r="128" spans="1:13" ht="31.5">
      <c r="A128" s="103"/>
      <c r="B128" s="138" t="s">
        <v>421</v>
      </c>
      <c r="C128" s="134"/>
      <c r="D128" s="134"/>
      <c r="E128" s="134"/>
      <c r="F128" s="134"/>
      <c r="G128" s="135"/>
      <c r="H128" s="142">
        <v>4095</v>
      </c>
      <c r="I128" s="142">
        <f t="shared" si="15"/>
        <v>4095</v>
      </c>
      <c r="J128" s="142">
        <f t="shared" si="13"/>
        <v>8190</v>
      </c>
      <c r="K128" s="142">
        <f t="shared" si="14"/>
        <v>0</v>
      </c>
      <c r="L128" s="378" t="s">
        <v>506</v>
      </c>
      <c r="M128" s="384"/>
    </row>
    <row r="129" spans="1:13" ht="31.5">
      <c r="A129" s="103"/>
      <c r="B129" s="138" t="s">
        <v>422</v>
      </c>
      <c r="C129" s="134"/>
      <c r="D129" s="134"/>
      <c r="E129" s="134"/>
      <c r="F129" s="134"/>
      <c r="G129" s="135"/>
      <c r="H129" s="142">
        <v>22700</v>
      </c>
      <c r="I129" s="142">
        <v>0</v>
      </c>
      <c r="J129" s="142">
        <f t="shared" si="13"/>
        <v>22700</v>
      </c>
      <c r="K129" s="142">
        <f t="shared" si="14"/>
        <v>0</v>
      </c>
      <c r="L129" s="378" t="s">
        <v>506</v>
      </c>
      <c r="M129" s="384"/>
    </row>
    <row r="130" spans="1:13" ht="15.75">
      <c r="A130" s="103"/>
      <c r="B130" s="138" t="s">
        <v>423</v>
      </c>
      <c r="C130" s="134"/>
      <c r="D130" s="134"/>
      <c r="E130" s="134"/>
      <c r="F130" s="134"/>
      <c r="G130" s="135"/>
      <c r="H130" s="142">
        <v>348</v>
      </c>
      <c r="I130" s="142">
        <f t="shared" si="15"/>
        <v>348</v>
      </c>
      <c r="J130" s="142">
        <f t="shared" si="13"/>
        <v>696</v>
      </c>
      <c r="K130" s="142">
        <f t="shared" si="14"/>
        <v>0</v>
      </c>
      <c r="L130" s="378" t="s">
        <v>506</v>
      </c>
      <c r="M130" s="384"/>
    </row>
    <row r="131" spans="1:13" ht="31.5">
      <c r="A131" s="103"/>
      <c r="B131" s="138" t="s">
        <v>424</v>
      </c>
      <c r="C131" s="134"/>
      <c r="D131" s="134"/>
      <c r="E131" s="134"/>
      <c r="F131" s="134"/>
      <c r="G131" s="135"/>
      <c r="H131" s="142">
        <v>1692.53</v>
      </c>
      <c r="I131" s="142">
        <v>0</v>
      </c>
      <c r="J131" s="142">
        <f t="shared" si="13"/>
        <v>1692.53</v>
      </c>
      <c r="K131" s="142">
        <f t="shared" si="14"/>
        <v>0</v>
      </c>
      <c r="L131" s="378" t="s">
        <v>506</v>
      </c>
      <c r="M131" s="384"/>
    </row>
    <row r="132" spans="1:13" ht="15.75">
      <c r="A132" s="103"/>
      <c r="B132" s="138" t="s">
        <v>425</v>
      </c>
      <c r="C132" s="134"/>
      <c r="D132" s="134"/>
      <c r="E132" s="134"/>
      <c r="F132" s="134"/>
      <c r="G132" s="135"/>
      <c r="H132" s="142">
        <v>4287.8100000000004</v>
      </c>
      <c r="I132" s="142">
        <v>0</v>
      </c>
      <c r="J132" s="142">
        <f t="shared" si="13"/>
        <v>4287.8100000000004</v>
      </c>
      <c r="K132" s="142">
        <f t="shared" si="14"/>
        <v>0</v>
      </c>
      <c r="L132" s="378" t="s">
        <v>506</v>
      </c>
      <c r="M132" s="384"/>
    </row>
    <row r="133" spans="1:13" ht="31.5">
      <c r="A133" s="103"/>
      <c r="B133" s="138" t="s">
        <v>426</v>
      </c>
      <c r="C133" s="134"/>
      <c r="D133" s="134"/>
      <c r="E133" s="134"/>
      <c r="F133" s="134"/>
      <c r="G133" s="135"/>
      <c r="H133" s="142">
        <v>6954.55</v>
      </c>
      <c r="I133" s="142">
        <v>0</v>
      </c>
      <c r="J133" s="142">
        <f t="shared" si="13"/>
        <v>6954.55</v>
      </c>
      <c r="K133" s="142">
        <f t="shared" si="14"/>
        <v>0</v>
      </c>
      <c r="L133" s="378" t="s">
        <v>506</v>
      </c>
      <c r="M133" s="384"/>
    </row>
    <row r="134" spans="1:13" ht="31.5">
      <c r="A134" s="103"/>
      <c r="B134" s="138" t="s">
        <v>427</v>
      </c>
      <c r="C134" s="134"/>
      <c r="D134" s="134"/>
      <c r="E134" s="134"/>
      <c r="F134" s="134"/>
      <c r="G134" s="135"/>
      <c r="H134" s="142">
        <v>5700</v>
      </c>
      <c r="I134" s="142">
        <v>0</v>
      </c>
      <c r="J134" s="142">
        <f t="shared" si="13"/>
        <v>5700</v>
      </c>
      <c r="K134" s="142">
        <f t="shared" si="14"/>
        <v>0</v>
      </c>
      <c r="L134" s="378" t="s">
        <v>506</v>
      </c>
      <c r="M134" s="384"/>
    </row>
    <row r="135" spans="1:13" ht="15.75">
      <c r="A135" s="103"/>
      <c r="B135" s="138" t="s">
        <v>428</v>
      </c>
      <c r="C135" s="134"/>
      <c r="D135" s="134"/>
      <c r="E135" s="134"/>
      <c r="F135" s="134"/>
      <c r="G135" s="135"/>
      <c r="H135" s="142">
        <v>510</v>
      </c>
      <c r="I135" s="142">
        <v>0</v>
      </c>
      <c r="J135" s="142">
        <f t="shared" si="13"/>
        <v>510</v>
      </c>
      <c r="K135" s="142">
        <f t="shared" si="14"/>
        <v>0</v>
      </c>
      <c r="L135" s="378" t="s">
        <v>506</v>
      </c>
      <c r="M135" s="384"/>
    </row>
    <row r="136" spans="1:13" ht="47.25">
      <c r="A136" s="103"/>
      <c r="B136" s="138" t="s">
        <v>429</v>
      </c>
      <c r="C136" s="134"/>
      <c r="D136" s="134"/>
      <c r="E136" s="134"/>
      <c r="F136" s="134"/>
      <c r="G136" s="135"/>
      <c r="H136" s="142">
        <v>2822</v>
      </c>
      <c r="I136" s="142">
        <v>0</v>
      </c>
      <c r="J136" s="142">
        <f t="shared" si="13"/>
        <v>2822</v>
      </c>
      <c r="K136" s="142">
        <f t="shared" si="14"/>
        <v>0</v>
      </c>
      <c r="L136" s="378" t="s">
        <v>506</v>
      </c>
      <c r="M136" s="384"/>
    </row>
    <row r="137" spans="1:13" ht="31.5">
      <c r="A137" s="360"/>
      <c r="B137" s="356" t="s">
        <v>379</v>
      </c>
      <c r="C137" s="357">
        <f>SUM(C39:C136)-15668.64</f>
        <v>2287459.8800000004</v>
      </c>
      <c r="D137" s="358">
        <f>SUM(D39:D99)</f>
        <v>-69999.999999999985</v>
      </c>
      <c r="E137" s="358"/>
      <c r="F137" s="357">
        <f>SUM(F39:F136)-16000</f>
        <v>2217128.5199999996</v>
      </c>
      <c r="G137" s="357">
        <f>SUM(G39:G136)</f>
        <v>1787591</v>
      </c>
      <c r="H137" s="357">
        <f>SUM(H39:H136)-5669.77</f>
        <v>1122996.4499999997</v>
      </c>
      <c r="I137" s="357">
        <f>SUM(I39:I136)-3575.98</f>
        <v>1094132.07</v>
      </c>
      <c r="J137" s="357">
        <f>H137+I137</f>
        <v>2217128.5199999996</v>
      </c>
      <c r="K137" s="357">
        <f>F137-H137-I137</f>
        <v>0</v>
      </c>
      <c r="L137" s="357"/>
      <c r="M137" s="361"/>
    </row>
    <row r="138" spans="1:13" ht="36">
      <c r="A138" s="268">
        <v>82</v>
      </c>
      <c r="B138" s="136" t="s">
        <v>220</v>
      </c>
      <c r="C138" s="134">
        <v>120000</v>
      </c>
      <c r="D138" s="134"/>
      <c r="E138" s="134"/>
      <c r="F138" s="134">
        <v>120000</v>
      </c>
      <c r="G138" s="134">
        <v>45000</v>
      </c>
      <c r="H138" s="134">
        <f>G138</f>
        <v>45000</v>
      </c>
      <c r="I138" s="134"/>
      <c r="J138" s="267">
        <f>H138</f>
        <v>45000</v>
      </c>
      <c r="K138" s="134">
        <f>F138-J138</f>
        <v>75000</v>
      </c>
      <c r="L138" s="371" t="s">
        <v>458</v>
      </c>
      <c r="M138" s="377" t="s">
        <v>489</v>
      </c>
    </row>
    <row r="139" spans="1:13" ht="36">
      <c r="A139" s="268">
        <v>83</v>
      </c>
      <c r="B139" s="136" t="s">
        <v>221</v>
      </c>
      <c r="C139" s="134">
        <v>126240</v>
      </c>
      <c r="D139" s="134">
        <v>-2300</v>
      </c>
      <c r="E139" s="134"/>
      <c r="F139" s="134">
        <f>C139+D139</f>
        <v>123940</v>
      </c>
      <c r="G139" s="134">
        <v>55000</v>
      </c>
      <c r="H139" s="134">
        <f>G139</f>
        <v>55000</v>
      </c>
      <c r="I139" s="134"/>
      <c r="J139" s="134">
        <f>H139</f>
        <v>55000</v>
      </c>
      <c r="K139" s="134">
        <f>F139-J139</f>
        <v>68940</v>
      </c>
      <c r="L139" s="371" t="s">
        <v>458</v>
      </c>
      <c r="M139" s="377" t="s">
        <v>490</v>
      </c>
    </row>
    <row r="140" spans="1:13" ht="36">
      <c r="A140" s="268">
        <v>84</v>
      </c>
      <c r="B140" s="136" t="s">
        <v>56</v>
      </c>
      <c r="C140" s="134">
        <v>386600</v>
      </c>
      <c r="D140" s="134">
        <v>-130000</v>
      </c>
      <c r="E140" s="134"/>
      <c r="F140" s="134">
        <f>C140+D140</f>
        <v>256600</v>
      </c>
      <c r="G140" s="134"/>
      <c r="H140" s="134"/>
      <c r="I140" s="134"/>
      <c r="J140" s="134">
        <v>200000</v>
      </c>
      <c r="K140" s="134">
        <f>F140-J140</f>
        <v>56600</v>
      </c>
      <c r="L140" s="371" t="s">
        <v>458</v>
      </c>
      <c r="M140" s="377" t="s">
        <v>491</v>
      </c>
    </row>
    <row r="141" spans="1:13" ht="31.5">
      <c r="A141" s="268">
        <v>85</v>
      </c>
      <c r="B141" s="136" t="s">
        <v>58</v>
      </c>
      <c r="C141" s="134">
        <v>157700</v>
      </c>
      <c r="D141" s="134">
        <v>132300</v>
      </c>
      <c r="E141" s="134"/>
      <c r="F141" s="134">
        <f>C141+D141</f>
        <v>290000</v>
      </c>
      <c r="G141" s="134">
        <v>290000</v>
      </c>
      <c r="H141" s="134">
        <f>G141</f>
        <v>290000</v>
      </c>
      <c r="I141" s="134"/>
      <c r="J141" s="134">
        <f>H141</f>
        <v>290000</v>
      </c>
      <c r="K141" s="134">
        <f>F141-J141</f>
        <v>0</v>
      </c>
      <c r="L141" s="371" t="s">
        <v>458</v>
      </c>
      <c r="M141" s="368"/>
    </row>
    <row r="142" spans="1:13" ht="48">
      <c r="A142" s="268">
        <v>86</v>
      </c>
      <c r="B142" s="136" t="s">
        <v>59</v>
      </c>
      <c r="C142" s="134">
        <v>108000</v>
      </c>
      <c r="D142" s="134"/>
      <c r="E142" s="134"/>
      <c r="F142" s="134">
        <v>108000</v>
      </c>
      <c r="G142" s="134">
        <v>0</v>
      </c>
      <c r="H142" s="134"/>
      <c r="I142" s="134"/>
      <c r="J142" s="111"/>
      <c r="K142" s="134">
        <f>F142</f>
        <v>108000</v>
      </c>
      <c r="L142" s="371" t="s">
        <v>458</v>
      </c>
      <c r="M142" s="377" t="s">
        <v>492</v>
      </c>
    </row>
    <row r="143" spans="1:13" ht="78.75">
      <c r="A143" s="268">
        <v>87</v>
      </c>
      <c r="B143" s="139" t="s">
        <v>60</v>
      </c>
      <c r="C143" s="134">
        <v>158400</v>
      </c>
      <c r="D143" s="134"/>
      <c r="E143" s="134"/>
      <c r="F143" s="134">
        <v>158400</v>
      </c>
      <c r="G143" s="134">
        <v>0</v>
      </c>
      <c r="H143" s="134"/>
      <c r="I143" s="134"/>
      <c r="J143" s="111"/>
      <c r="K143" s="111"/>
      <c r="L143" s="371" t="s">
        <v>493</v>
      </c>
      <c r="M143" s="368"/>
    </row>
    <row r="144" spans="1:13" ht="110.25">
      <c r="A144" s="268">
        <v>88</v>
      </c>
      <c r="B144" s="139" t="s">
        <v>61</v>
      </c>
      <c r="C144" s="134">
        <f>220982.142857143*1.12</f>
        <v>247500.00000000017</v>
      </c>
      <c r="D144" s="134"/>
      <c r="E144" s="134"/>
      <c r="F144" s="134">
        <f>C144</f>
        <v>247500.00000000017</v>
      </c>
      <c r="G144" s="134">
        <v>0</v>
      </c>
      <c r="H144" s="134"/>
      <c r="I144" s="134"/>
      <c r="J144" s="111"/>
      <c r="K144" s="111"/>
      <c r="L144" s="371" t="s">
        <v>493</v>
      </c>
      <c r="M144" s="368"/>
    </row>
    <row r="145" spans="1:13" ht="47.25">
      <c r="A145" s="268">
        <v>89</v>
      </c>
      <c r="B145" s="136" t="s">
        <v>342</v>
      </c>
      <c r="C145" s="134">
        <v>100000</v>
      </c>
      <c r="D145" s="134"/>
      <c r="E145" s="134"/>
      <c r="F145" s="134">
        <v>100000</v>
      </c>
      <c r="G145" s="134">
        <v>90000</v>
      </c>
      <c r="H145" s="134">
        <f>G145</f>
        <v>90000</v>
      </c>
      <c r="I145" s="134"/>
      <c r="J145" s="134">
        <f>H145</f>
        <v>90000</v>
      </c>
      <c r="K145" s="134">
        <f>F145-J145</f>
        <v>10000</v>
      </c>
      <c r="L145" s="371" t="s">
        <v>458</v>
      </c>
      <c r="M145" s="368"/>
    </row>
    <row r="146" spans="1:13" ht="31.5">
      <c r="A146" s="268">
        <v>90</v>
      </c>
      <c r="B146" s="136" t="s">
        <v>63</v>
      </c>
      <c r="C146" s="134">
        <f>260357.142857143*1.12</f>
        <v>291600.00000000017</v>
      </c>
      <c r="D146" s="134"/>
      <c r="E146" s="134"/>
      <c r="F146" s="134"/>
      <c r="G146" s="134"/>
      <c r="H146" s="134"/>
      <c r="I146" s="134"/>
      <c r="J146" s="134"/>
      <c r="K146" s="134"/>
      <c r="L146" s="441" t="s">
        <v>461</v>
      </c>
      <c r="M146" s="444" t="s">
        <v>494</v>
      </c>
    </row>
    <row r="147" spans="1:13" ht="31.5">
      <c r="A147" s="268">
        <v>91</v>
      </c>
      <c r="B147" s="136" t="s">
        <v>192</v>
      </c>
      <c r="C147" s="134">
        <f>390535.714285714*1.12</f>
        <v>437399.99999999977</v>
      </c>
      <c r="D147" s="134"/>
      <c r="E147" s="134"/>
      <c r="F147" s="134"/>
      <c r="G147" s="134"/>
      <c r="H147" s="134"/>
      <c r="I147" s="134"/>
      <c r="J147" s="134"/>
      <c r="K147" s="134"/>
      <c r="L147" s="413"/>
      <c r="M147" s="445"/>
    </row>
    <row r="148" spans="1:13" ht="31.5">
      <c r="A148" s="268"/>
      <c r="B148" s="136" t="s">
        <v>336</v>
      </c>
      <c r="C148" s="134"/>
      <c r="D148" s="134"/>
      <c r="E148" s="134"/>
      <c r="F148" s="134">
        <f>(260357.142857143+390535.71)*1.12</f>
        <v>728999.99520000024</v>
      </c>
      <c r="G148" s="134"/>
      <c r="H148" s="134"/>
      <c r="I148" s="134"/>
      <c r="J148" s="134">
        <v>620000</v>
      </c>
      <c r="K148" s="134">
        <f>F148-J148</f>
        <v>108999.99520000024</v>
      </c>
      <c r="L148" s="413"/>
      <c r="M148" s="445"/>
    </row>
    <row r="149" spans="1:13" ht="31.5">
      <c r="A149" s="360"/>
      <c r="B149" s="356" t="s">
        <v>384</v>
      </c>
      <c r="C149" s="357">
        <f t="shared" ref="C149:K149" si="16">SUM(C138:C148)</f>
        <v>2133440</v>
      </c>
      <c r="D149" s="357">
        <f t="shared" si="16"/>
        <v>0</v>
      </c>
      <c r="E149" s="357"/>
      <c r="F149" s="357">
        <f t="shared" si="16"/>
        <v>2133439.9952000007</v>
      </c>
      <c r="G149" s="357">
        <f t="shared" si="16"/>
        <v>480000</v>
      </c>
      <c r="H149" s="357">
        <f t="shared" si="16"/>
        <v>480000</v>
      </c>
      <c r="I149" s="357"/>
      <c r="J149" s="357">
        <f t="shared" si="16"/>
        <v>1300000</v>
      </c>
      <c r="K149" s="357">
        <f t="shared" si="16"/>
        <v>427539.99520000024</v>
      </c>
      <c r="L149" s="357"/>
      <c r="M149" s="361"/>
    </row>
    <row r="150" spans="1:13" ht="47.25">
      <c r="A150" s="275">
        <v>92</v>
      </c>
      <c r="B150" s="136" t="s">
        <v>64</v>
      </c>
      <c r="C150" s="134">
        <v>3697507.5</v>
      </c>
      <c r="D150" s="134">
        <v>-2135907.5</v>
      </c>
      <c r="E150" s="134"/>
      <c r="F150" s="134">
        <v>1561600</v>
      </c>
      <c r="G150" s="134"/>
      <c r="H150" s="134">
        <v>0</v>
      </c>
      <c r="I150" s="134"/>
      <c r="J150" s="111"/>
      <c r="K150" s="111"/>
      <c r="L150" s="369" t="s">
        <v>458</v>
      </c>
      <c r="M150" s="375"/>
    </row>
    <row r="151" spans="1:13" ht="31.5">
      <c r="A151" s="360"/>
      <c r="B151" s="356" t="s">
        <v>432</v>
      </c>
      <c r="C151" s="357">
        <f>C150</f>
        <v>3697507.5</v>
      </c>
      <c r="D151" s="358">
        <f t="shared" ref="D151:K151" si="17">D150</f>
        <v>-2135907.5</v>
      </c>
      <c r="E151" s="358"/>
      <c r="F151" s="357">
        <f t="shared" si="17"/>
        <v>1561600</v>
      </c>
      <c r="G151" s="357">
        <f t="shared" si="17"/>
        <v>0</v>
      </c>
      <c r="H151" s="357">
        <f t="shared" si="17"/>
        <v>0</v>
      </c>
      <c r="I151" s="357"/>
      <c r="J151" s="357">
        <f t="shared" si="17"/>
        <v>0</v>
      </c>
      <c r="K151" s="357">
        <f t="shared" si="17"/>
        <v>0</v>
      </c>
      <c r="L151" s="357"/>
      <c r="M151" s="361"/>
    </row>
    <row r="152" spans="1:13" ht="31.5">
      <c r="A152" s="275">
        <v>93</v>
      </c>
      <c r="B152" s="136" t="s">
        <v>234</v>
      </c>
      <c r="C152" s="134">
        <v>3499285.2</v>
      </c>
      <c r="D152" s="134">
        <v>2135907.5</v>
      </c>
      <c r="E152" s="134"/>
      <c r="F152" s="134">
        <v>5635207</v>
      </c>
      <c r="G152" s="134"/>
      <c r="H152" s="134">
        <f>1249652.31+13000+1004943+488242+202164+843451</f>
        <v>3801452.31</v>
      </c>
      <c r="I152" s="134"/>
      <c r="J152" s="111"/>
      <c r="K152" s="111"/>
      <c r="L152" s="369" t="s">
        <v>458</v>
      </c>
      <c r="M152" s="375"/>
    </row>
    <row r="153" spans="1:13" ht="47.25">
      <c r="A153" s="360"/>
      <c r="B153" s="356" t="s">
        <v>433</v>
      </c>
      <c r="C153" s="357">
        <f>C152</f>
        <v>3499285.2</v>
      </c>
      <c r="D153" s="358">
        <f t="shared" ref="D153:K153" si="18">D152</f>
        <v>2135907.5</v>
      </c>
      <c r="E153" s="358"/>
      <c r="F153" s="357">
        <f t="shared" si="18"/>
        <v>5635207</v>
      </c>
      <c r="G153" s="357">
        <f t="shared" si="18"/>
        <v>0</v>
      </c>
      <c r="H153" s="357">
        <f t="shared" si="18"/>
        <v>3801452.31</v>
      </c>
      <c r="I153" s="357"/>
      <c r="J153" s="357">
        <f t="shared" si="18"/>
        <v>0</v>
      </c>
      <c r="K153" s="357">
        <f t="shared" si="18"/>
        <v>0</v>
      </c>
      <c r="L153" s="357"/>
      <c r="M153" s="361"/>
    </row>
    <row r="154" spans="1:13" ht="63">
      <c r="A154" s="275">
        <v>94</v>
      </c>
      <c r="B154" s="119" t="s">
        <v>382</v>
      </c>
      <c r="C154" s="142">
        <v>2760000</v>
      </c>
      <c r="D154" s="142"/>
      <c r="E154" s="142">
        <f>C154</f>
        <v>2760000</v>
      </c>
      <c r="F154" s="142">
        <f>E154-600000</f>
        <v>2160000</v>
      </c>
      <c r="G154" s="142">
        <v>2160000</v>
      </c>
      <c r="H154" s="142">
        <f>2160000/9*5+200000*3</f>
        <v>1800000</v>
      </c>
      <c r="I154" s="142">
        <f>240000*4</f>
        <v>960000</v>
      </c>
      <c r="J154" s="142">
        <f>H154+I154</f>
        <v>2760000</v>
      </c>
      <c r="K154" s="142">
        <f>C154-J154</f>
        <v>0</v>
      </c>
      <c r="L154" s="355" t="s">
        <v>453</v>
      </c>
      <c r="M154" s="248"/>
    </row>
    <row r="155" spans="1:13" ht="63">
      <c r="A155" s="275">
        <v>95</v>
      </c>
      <c r="B155" s="119" t="s">
        <v>381</v>
      </c>
      <c r="C155" s="142">
        <v>2640000</v>
      </c>
      <c r="D155" s="142">
        <v>-191365</v>
      </c>
      <c r="E155" s="142">
        <f>C155+D155</f>
        <v>2448635</v>
      </c>
      <c r="F155" s="142">
        <f>C155+D155</f>
        <v>2448635</v>
      </c>
      <c r="G155" s="142"/>
      <c r="H155" s="142">
        <f>26860.47+188024.53+188023+209291.25+210000+85909.09+204000*3</f>
        <v>1520108.3399999999</v>
      </c>
      <c r="I155" s="142">
        <f>188023*4</f>
        <v>752092</v>
      </c>
      <c r="J155" s="142">
        <f>26860.47+188024.53+188023+209291.25+210000+85909.09+204000*3+188023*4</f>
        <v>2272200.34</v>
      </c>
      <c r="K155" s="142">
        <f>E155-J155</f>
        <v>176434.66000000015</v>
      </c>
      <c r="L155" s="355" t="s">
        <v>453</v>
      </c>
      <c r="M155" s="248"/>
    </row>
    <row r="156" spans="1:13" ht="47.25">
      <c r="A156" s="275">
        <v>96</v>
      </c>
      <c r="B156" s="119" t="s">
        <v>383</v>
      </c>
      <c r="C156" s="142">
        <v>2760000</v>
      </c>
      <c r="D156" s="142"/>
      <c r="E156" s="142">
        <f>C156</f>
        <v>2760000</v>
      </c>
      <c r="F156" s="142">
        <f>C156+D156</f>
        <v>2760000</v>
      </c>
      <c r="G156" s="142">
        <f>F156</f>
        <v>2760000</v>
      </c>
      <c r="H156" s="142">
        <f>1194444+203000*2+204000</f>
        <v>1804444</v>
      </c>
      <c r="I156" s="142">
        <f>955556</f>
        <v>955556</v>
      </c>
      <c r="J156" s="142">
        <f>H156+I156</f>
        <v>2760000</v>
      </c>
      <c r="K156" s="142">
        <f>C156-J156</f>
        <v>0</v>
      </c>
      <c r="L156" s="355" t="s">
        <v>453</v>
      </c>
      <c r="M156" s="248"/>
    </row>
    <row r="157" spans="1:13" ht="22.9" customHeight="1">
      <c r="A157" s="360"/>
      <c r="B157" s="356" t="s">
        <v>380</v>
      </c>
      <c r="C157" s="357">
        <f t="shared" ref="C157:K157" si="19">SUM(C154:C156)</f>
        <v>8160000</v>
      </c>
      <c r="D157" s="357">
        <f t="shared" si="19"/>
        <v>-191365</v>
      </c>
      <c r="E157" s="357"/>
      <c r="F157" s="357">
        <f t="shared" si="19"/>
        <v>7368635</v>
      </c>
      <c r="G157" s="357">
        <f t="shared" si="19"/>
        <v>4920000</v>
      </c>
      <c r="H157" s="357">
        <f t="shared" si="19"/>
        <v>5124552.34</v>
      </c>
      <c r="I157" s="357">
        <f t="shared" si="19"/>
        <v>2667648</v>
      </c>
      <c r="J157" s="357">
        <f t="shared" si="19"/>
        <v>7792200.3399999999</v>
      </c>
      <c r="K157" s="357">
        <f t="shared" si="19"/>
        <v>176434.66000000015</v>
      </c>
      <c r="L157" s="357"/>
      <c r="M157" s="361"/>
    </row>
    <row r="158" spans="1:13" ht="110.25">
      <c r="A158" s="275">
        <v>97</v>
      </c>
      <c r="B158" s="119" t="s">
        <v>68</v>
      </c>
      <c r="C158" s="142">
        <v>2727943.92</v>
      </c>
      <c r="D158" s="142">
        <f>-(600000+66262.68*3)</f>
        <v>-798788.04</v>
      </c>
      <c r="E158" s="142">
        <f>C158+D158</f>
        <v>1929155.88</v>
      </c>
      <c r="F158" s="142">
        <f>E158</f>
        <v>1929155.88</v>
      </c>
      <c r="G158" s="142">
        <v>548079.84</v>
      </c>
      <c r="H158" s="142">
        <f>503276.9</f>
        <v>503276.9</v>
      </c>
      <c r="I158" s="142">
        <f>60897.76*4</f>
        <v>243591.04000000001</v>
      </c>
      <c r="J158" s="142">
        <f>H158+60897.76*4</f>
        <v>746867.94000000006</v>
      </c>
      <c r="K158" s="142">
        <f>E158-J158</f>
        <v>1182287.94</v>
      </c>
      <c r="L158" s="355" t="s">
        <v>454</v>
      </c>
      <c r="M158" s="248"/>
    </row>
    <row r="159" spans="1:13" ht="47.25">
      <c r="A159" s="275">
        <v>98</v>
      </c>
      <c r="B159" s="119" t="s">
        <v>69</v>
      </c>
      <c r="C159" s="142">
        <v>1104000</v>
      </c>
      <c r="D159" s="142"/>
      <c r="E159" s="142"/>
      <c r="F159" s="142">
        <f>C159</f>
        <v>1104000</v>
      </c>
      <c r="G159" s="142">
        <f>F159</f>
        <v>1104000</v>
      </c>
      <c r="H159" s="142">
        <v>178665.64</v>
      </c>
      <c r="I159" s="142">
        <v>178665.64</v>
      </c>
      <c r="J159" s="142">
        <f>H159+I159</f>
        <v>357331.28</v>
      </c>
      <c r="K159" s="142">
        <f t="shared" ref="K159:K164" si="20">F159-J159</f>
        <v>746668.72</v>
      </c>
      <c r="L159" s="355" t="s">
        <v>453</v>
      </c>
      <c r="M159" s="376" t="s">
        <v>507</v>
      </c>
    </row>
    <row r="160" spans="1:13" ht="47.25">
      <c r="A160" s="275">
        <v>99</v>
      </c>
      <c r="B160" s="119" t="s">
        <v>70</v>
      </c>
      <c r="C160" s="142">
        <f>151748.64+456915.844285714+4956.43</f>
        <v>613620.91428571404</v>
      </c>
      <c r="D160" s="142"/>
      <c r="E160" s="142"/>
      <c r="F160" s="142">
        <f>C160</f>
        <v>613620.91428571404</v>
      </c>
      <c r="G160" s="142"/>
      <c r="H160" s="142">
        <f>94841.74+277701.94+70248.14</f>
        <v>442791.82</v>
      </c>
      <c r="I160" s="142">
        <f>F160-H160</f>
        <v>170829.09428571403</v>
      </c>
      <c r="J160" s="142">
        <f>H160+I160</f>
        <v>613620.91428571404</v>
      </c>
      <c r="K160" s="142">
        <f t="shared" si="20"/>
        <v>0</v>
      </c>
      <c r="L160" s="355" t="s">
        <v>453</v>
      </c>
      <c r="M160" s="248"/>
    </row>
    <row r="161" spans="1:13" ht="47.25">
      <c r="A161" s="275">
        <v>100</v>
      </c>
      <c r="B161" s="119" t="s">
        <v>71</v>
      </c>
      <c r="C161" s="142">
        <v>147690</v>
      </c>
      <c r="D161" s="142">
        <v>-100000</v>
      </c>
      <c r="E161" s="142"/>
      <c r="F161" s="142">
        <f>C161+D161</f>
        <v>47690</v>
      </c>
      <c r="G161" s="142">
        <f>16320</f>
        <v>16320</v>
      </c>
      <c r="H161" s="142">
        <f>6480+1533.51</f>
        <v>8013.51</v>
      </c>
      <c r="I161" s="142">
        <f>J161-H161</f>
        <v>8306.49</v>
      </c>
      <c r="J161" s="142">
        <f>G161</f>
        <v>16320</v>
      </c>
      <c r="K161" s="142">
        <f t="shared" si="20"/>
        <v>31370</v>
      </c>
      <c r="L161" s="355" t="s">
        <v>453</v>
      </c>
      <c r="M161" s="248"/>
    </row>
    <row r="162" spans="1:13" ht="47.25">
      <c r="A162" s="275">
        <v>101</v>
      </c>
      <c r="B162" s="119" t="s">
        <v>72</v>
      </c>
      <c r="C162" s="142">
        <v>122500</v>
      </c>
      <c r="D162" s="142">
        <v>100000</v>
      </c>
      <c r="E162" s="142"/>
      <c r="F162" s="142">
        <f>C162+D162</f>
        <v>222500</v>
      </c>
      <c r="G162" s="142"/>
      <c r="H162" s="142">
        <f>105765</f>
        <v>105765</v>
      </c>
      <c r="I162" s="142">
        <f>F162-H162</f>
        <v>116735</v>
      </c>
      <c r="J162" s="142">
        <f>H162+I162</f>
        <v>222500</v>
      </c>
      <c r="K162" s="142">
        <f t="shared" si="20"/>
        <v>0</v>
      </c>
      <c r="L162" s="355" t="s">
        <v>453</v>
      </c>
      <c r="M162" s="248"/>
    </row>
    <row r="163" spans="1:13" ht="47.25">
      <c r="A163" s="275">
        <v>102</v>
      </c>
      <c r="B163" s="119" t="s">
        <v>73</v>
      </c>
      <c r="C163" s="142">
        <v>60000</v>
      </c>
      <c r="D163" s="142"/>
      <c r="E163" s="142"/>
      <c r="F163" s="142">
        <f>C163</f>
        <v>60000</v>
      </c>
      <c r="G163" s="142">
        <v>60000</v>
      </c>
      <c r="H163" s="142">
        <f>2600+1300+4400+2600</f>
        <v>10900</v>
      </c>
      <c r="I163" s="142">
        <v>15000</v>
      </c>
      <c r="J163" s="142">
        <f>H163+I163</f>
        <v>25900</v>
      </c>
      <c r="K163" s="142">
        <f t="shared" si="20"/>
        <v>34100</v>
      </c>
      <c r="L163" s="355" t="s">
        <v>453</v>
      </c>
      <c r="M163" s="248"/>
    </row>
    <row r="164" spans="1:13" ht="47.25">
      <c r="A164" s="275">
        <v>103</v>
      </c>
      <c r="B164" s="119" t="s">
        <v>74</v>
      </c>
      <c r="C164" s="142">
        <v>348000</v>
      </c>
      <c r="D164" s="142"/>
      <c r="E164" s="142"/>
      <c r="F164" s="142">
        <f>C164-30000</f>
        <v>318000</v>
      </c>
      <c r="G164" s="142">
        <f>F164</f>
        <v>318000</v>
      </c>
      <c r="H164" s="142">
        <v>120759.07</v>
      </c>
      <c r="I164" s="142">
        <f>F164-H164</f>
        <v>197240.93</v>
      </c>
      <c r="J164" s="142">
        <f>H164+I164</f>
        <v>318000</v>
      </c>
      <c r="K164" s="142">
        <f t="shared" si="20"/>
        <v>0</v>
      </c>
      <c r="L164" s="355" t="s">
        <v>453</v>
      </c>
      <c r="M164" s="248"/>
    </row>
    <row r="165" spans="1:13" ht="19.899999999999999" customHeight="1">
      <c r="A165" s="360"/>
      <c r="B165" s="356" t="s">
        <v>385</v>
      </c>
      <c r="C165" s="357">
        <f>SUM(C158:C164)</f>
        <v>5123754.8342857137</v>
      </c>
      <c r="D165" s="358">
        <f>SUM(D158:D164)</f>
        <v>-798788.04</v>
      </c>
      <c r="E165" s="358"/>
      <c r="F165" s="357">
        <f>SUM(F158:F164)</f>
        <v>4294966.7942857137</v>
      </c>
      <c r="G165" s="357">
        <f>SUM(G158:G164)</f>
        <v>2046399.8399999999</v>
      </c>
      <c r="H165" s="357">
        <f>SUM(H158:H164)</f>
        <v>1370171.9400000002</v>
      </c>
      <c r="I165" s="357"/>
      <c r="J165" s="357">
        <f>SUM(J158:J164)</f>
        <v>2300540.1342857145</v>
      </c>
      <c r="K165" s="357">
        <f>SUM(K158:K164)</f>
        <v>1994426.66</v>
      </c>
      <c r="L165" s="357"/>
      <c r="M165" s="361"/>
    </row>
    <row r="166" spans="1:13" ht="47.25">
      <c r="A166" s="275">
        <v>104</v>
      </c>
      <c r="B166" s="136" t="s">
        <v>75</v>
      </c>
      <c r="C166" s="134">
        <f>6192586.08+1818504.64</f>
        <v>8011090.7199999997</v>
      </c>
      <c r="D166" s="134">
        <v>-1900000</v>
      </c>
      <c r="E166" s="134">
        <f>C166+D166</f>
        <v>6111090.7199999997</v>
      </c>
      <c r="F166" s="134">
        <f>5456331*1.12</f>
        <v>6111090.7200000007</v>
      </c>
      <c r="G166" s="134">
        <f>F166</f>
        <v>6111090.7200000007</v>
      </c>
      <c r="H166" s="134">
        <f>2502369.93+1205466.4+'[3]2015'!$AA$19</f>
        <v>3707836.33</v>
      </c>
      <c r="I166" s="134">
        <f>C166-H166</f>
        <v>4303254.3899999997</v>
      </c>
      <c r="J166" s="134">
        <f>H166+I166</f>
        <v>8011090.7199999997</v>
      </c>
      <c r="K166" s="134">
        <f>C166-J166</f>
        <v>0</v>
      </c>
      <c r="L166" s="355" t="s">
        <v>453</v>
      </c>
      <c r="M166" s="256"/>
    </row>
    <row r="167" spans="1:13" ht="31.5">
      <c r="A167" s="363"/>
      <c r="B167" s="356" t="s">
        <v>434</v>
      </c>
      <c r="C167" s="357">
        <f>C166</f>
        <v>8011090.7199999997</v>
      </c>
      <c r="D167" s="357">
        <f t="shared" ref="D167:K167" si="21">D166</f>
        <v>-1900000</v>
      </c>
      <c r="E167" s="357"/>
      <c r="F167" s="357">
        <f t="shared" si="21"/>
        <v>6111090.7200000007</v>
      </c>
      <c r="G167" s="357">
        <f t="shared" si="21"/>
        <v>6111090.7200000007</v>
      </c>
      <c r="H167" s="357">
        <f t="shared" si="21"/>
        <v>3707836.33</v>
      </c>
      <c r="I167" s="357"/>
      <c r="J167" s="357">
        <f t="shared" si="21"/>
        <v>8011090.7199999997</v>
      </c>
      <c r="K167" s="357">
        <f t="shared" si="21"/>
        <v>0</v>
      </c>
      <c r="L167" s="357"/>
      <c r="M167" s="361"/>
    </row>
    <row r="168" spans="1:13" ht="47.25">
      <c r="A168" s="275">
        <v>105</v>
      </c>
      <c r="B168" s="136" t="s">
        <v>76</v>
      </c>
      <c r="C168" s="134">
        <v>631700</v>
      </c>
      <c r="D168" s="134"/>
      <c r="E168" s="134"/>
      <c r="F168" s="134">
        <f>C168</f>
        <v>631700</v>
      </c>
      <c r="G168" s="134"/>
      <c r="H168" s="134">
        <v>22347.53</v>
      </c>
      <c r="I168" s="134"/>
      <c r="J168" s="134"/>
      <c r="K168" s="134"/>
      <c r="L168" s="355" t="s">
        <v>453</v>
      </c>
      <c r="M168" s="377" t="s">
        <v>495</v>
      </c>
    </row>
    <row r="169" spans="1:13" ht="47.25">
      <c r="A169" s="275">
        <v>106</v>
      </c>
      <c r="B169" s="136" t="s">
        <v>266</v>
      </c>
      <c r="C169" s="134">
        <v>99100</v>
      </c>
      <c r="D169" s="134"/>
      <c r="E169" s="134"/>
      <c r="F169" s="134">
        <f>C169</f>
        <v>99100</v>
      </c>
      <c r="G169" s="134">
        <v>0</v>
      </c>
      <c r="H169" s="134">
        <v>73732</v>
      </c>
      <c r="I169" s="134">
        <f>9900*2</f>
        <v>19800</v>
      </c>
      <c r="J169" s="134">
        <f>H169+I169</f>
        <v>93532</v>
      </c>
      <c r="K169" s="134">
        <f>F169-J169</f>
        <v>5568</v>
      </c>
      <c r="L169" s="355" t="s">
        <v>453</v>
      </c>
      <c r="M169" s="256"/>
    </row>
    <row r="170" spans="1:13" ht="47.25">
      <c r="A170" s="363"/>
      <c r="B170" s="356" t="s">
        <v>435</v>
      </c>
      <c r="C170" s="357">
        <f>C168+C169</f>
        <v>730800</v>
      </c>
      <c r="D170" s="357">
        <f t="shared" ref="D170:K170" si="22">D168+D169</f>
        <v>0</v>
      </c>
      <c r="E170" s="357"/>
      <c r="F170" s="357">
        <f t="shared" si="22"/>
        <v>730800</v>
      </c>
      <c r="G170" s="357">
        <f t="shared" si="22"/>
        <v>0</v>
      </c>
      <c r="H170" s="357">
        <f t="shared" si="22"/>
        <v>96079.53</v>
      </c>
      <c r="I170" s="357"/>
      <c r="J170" s="357">
        <f t="shared" si="22"/>
        <v>93532</v>
      </c>
      <c r="K170" s="357">
        <f t="shared" si="22"/>
        <v>5568</v>
      </c>
      <c r="L170" s="357"/>
      <c r="M170" s="361"/>
    </row>
    <row r="171" spans="1:13" ht="60.75">
      <c r="A171" s="275">
        <v>107</v>
      </c>
      <c r="B171" s="136" t="s">
        <v>79</v>
      </c>
      <c r="C171" s="134">
        <v>2200000</v>
      </c>
      <c r="D171" s="134"/>
      <c r="E171" s="134"/>
      <c r="F171" s="134">
        <f>C171</f>
        <v>2200000</v>
      </c>
      <c r="G171" s="134"/>
      <c r="H171" s="134"/>
      <c r="I171" s="134"/>
      <c r="J171" s="134"/>
      <c r="K171" s="134"/>
      <c r="L171" s="134"/>
      <c r="M171" s="376" t="s">
        <v>508</v>
      </c>
    </row>
    <row r="172" spans="1:13" ht="31.5">
      <c r="A172" s="363"/>
      <c r="B172" s="356" t="s">
        <v>436</v>
      </c>
      <c r="C172" s="357">
        <f>C171</f>
        <v>2200000</v>
      </c>
      <c r="D172" s="357">
        <f t="shared" ref="D172:K172" si="23">D171</f>
        <v>0</v>
      </c>
      <c r="E172" s="357"/>
      <c r="F172" s="357">
        <f t="shared" si="23"/>
        <v>2200000</v>
      </c>
      <c r="G172" s="357">
        <f t="shared" si="23"/>
        <v>0</v>
      </c>
      <c r="H172" s="357">
        <f t="shared" si="23"/>
        <v>0</v>
      </c>
      <c r="I172" s="357"/>
      <c r="J172" s="357">
        <f t="shared" si="23"/>
        <v>0</v>
      </c>
      <c r="K172" s="357">
        <f t="shared" si="23"/>
        <v>0</v>
      </c>
      <c r="L172" s="357"/>
      <c r="M172" s="361"/>
    </row>
    <row r="173" spans="1:13" ht="47.25">
      <c r="A173" s="275">
        <v>108</v>
      </c>
      <c r="B173" s="138" t="s">
        <v>81</v>
      </c>
      <c r="C173" s="134">
        <v>33306700</v>
      </c>
      <c r="D173" s="134"/>
      <c r="E173" s="134"/>
      <c r="F173" s="134">
        <v>33306700</v>
      </c>
      <c r="G173" s="134"/>
      <c r="H173" s="134">
        <f>9652.08+9115469.19+9018797.71</f>
        <v>18143918.98</v>
      </c>
      <c r="I173" s="134"/>
      <c r="J173" s="134"/>
      <c r="K173" s="134"/>
      <c r="L173" s="369" t="s">
        <v>458</v>
      </c>
      <c r="M173" s="256"/>
    </row>
    <row r="174" spans="1:13" ht="31.5">
      <c r="A174" s="275">
        <v>109</v>
      </c>
      <c r="B174" s="138" t="s">
        <v>82</v>
      </c>
      <c r="C174" s="134">
        <v>2573500</v>
      </c>
      <c r="D174" s="134"/>
      <c r="E174" s="134"/>
      <c r="F174" s="134">
        <v>2573500</v>
      </c>
      <c r="G174" s="134"/>
      <c r="H174" s="134"/>
      <c r="I174" s="134"/>
      <c r="J174" s="134"/>
      <c r="K174" s="134"/>
      <c r="L174" s="369" t="s">
        <v>458</v>
      </c>
      <c r="M174" s="256"/>
    </row>
    <row r="175" spans="1:13" ht="63">
      <c r="A175" s="275">
        <v>110</v>
      </c>
      <c r="B175" s="140" t="s">
        <v>241</v>
      </c>
      <c r="C175" s="134">
        <v>127100</v>
      </c>
      <c r="D175" s="134"/>
      <c r="E175" s="134"/>
      <c r="F175" s="134">
        <v>127100</v>
      </c>
      <c r="G175" s="134"/>
      <c r="H175" s="134">
        <v>83613.34</v>
      </c>
      <c r="I175" s="134"/>
      <c r="J175" s="134"/>
      <c r="K175" s="134"/>
      <c r="L175" s="369" t="s">
        <v>458</v>
      </c>
      <c r="M175" s="256"/>
    </row>
    <row r="176" spans="1:13" ht="47.25">
      <c r="A176" s="275">
        <v>111</v>
      </c>
      <c r="B176" s="140" t="s">
        <v>242</v>
      </c>
      <c r="C176" s="134">
        <v>21060</v>
      </c>
      <c r="D176" s="134"/>
      <c r="E176" s="134"/>
      <c r="F176" s="134">
        <v>21060</v>
      </c>
      <c r="G176" s="134"/>
      <c r="H176" s="134">
        <f>4914+4914</f>
        <v>9828</v>
      </c>
      <c r="I176" s="134"/>
      <c r="J176" s="134"/>
      <c r="K176" s="134"/>
      <c r="L176" s="369" t="s">
        <v>458</v>
      </c>
      <c r="M176" s="256"/>
    </row>
    <row r="177" spans="1:13" ht="47.25">
      <c r="A177" s="275">
        <v>112</v>
      </c>
      <c r="B177" s="140" t="s">
        <v>83</v>
      </c>
      <c r="C177" s="134">
        <v>14426697.140000001</v>
      </c>
      <c r="D177" s="134"/>
      <c r="E177" s="134"/>
      <c r="F177" s="134">
        <v>14426697.140000001</v>
      </c>
      <c r="G177" s="134"/>
      <c r="H177" s="134">
        <f>6744801.64+5514261.58</f>
        <v>12259063.219999999</v>
      </c>
      <c r="I177" s="134"/>
      <c r="J177" s="134"/>
      <c r="K177" s="134"/>
      <c r="L177" s="369" t="s">
        <v>458</v>
      </c>
      <c r="M177" s="256"/>
    </row>
    <row r="178" spans="1:13" ht="31.5">
      <c r="A178" s="275">
        <v>113</v>
      </c>
      <c r="B178" s="140" t="s">
        <v>84</v>
      </c>
      <c r="C178" s="134">
        <v>660000</v>
      </c>
      <c r="D178" s="134"/>
      <c r="E178" s="134"/>
      <c r="F178" s="134">
        <v>660000</v>
      </c>
      <c r="G178" s="134"/>
      <c r="H178" s="134">
        <v>642203.38</v>
      </c>
      <c r="I178" s="134"/>
      <c r="J178" s="134"/>
      <c r="K178" s="134"/>
      <c r="L178" s="369" t="s">
        <v>458</v>
      </c>
      <c r="M178" s="256"/>
    </row>
    <row r="179" spans="1:13" ht="31.5">
      <c r="A179" s="275">
        <v>114</v>
      </c>
      <c r="B179" s="140" t="s">
        <v>85</v>
      </c>
      <c r="C179" s="134">
        <v>6676617.8799999999</v>
      </c>
      <c r="D179" s="134"/>
      <c r="E179" s="134"/>
      <c r="F179" s="134">
        <v>6676617.8799999999</v>
      </c>
      <c r="G179" s="134"/>
      <c r="H179" s="134">
        <f>302888.14+607121.66</f>
        <v>910009.8</v>
      </c>
      <c r="I179" s="134"/>
      <c r="J179" s="134"/>
      <c r="K179" s="134"/>
      <c r="L179" s="369" t="s">
        <v>458</v>
      </c>
      <c r="M179" s="256"/>
    </row>
    <row r="180" spans="1:13" ht="24.6" customHeight="1">
      <c r="A180" s="363"/>
      <c r="B180" s="356" t="s">
        <v>387</v>
      </c>
      <c r="C180" s="357">
        <f>SUM(C173:C179)</f>
        <v>57791675.020000003</v>
      </c>
      <c r="D180" s="357">
        <f>SUM(D173:D179)</f>
        <v>0</v>
      </c>
      <c r="E180" s="357"/>
      <c r="F180" s="357">
        <f>SUM(F173:F179)</f>
        <v>57791675.020000003</v>
      </c>
      <c r="G180" s="357">
        <f>SUM(G173:G179)</f>
        <v>0</v>
      </c>
      <c r="H180" s="357">
        <f>SUM(H173:H179)</f>
        <v>32048636.719999999</v>
      </c>
      <c r="I180" s="357"/>
      <c r="J180" s="357">
        <f>SUM(J173:J179)</f>
        <v>0</v>
      </c>
      <c r="K180" s="357">
        <f>SUM(K173:K179)</f>
        <v>0</v>
      </c>
      <c r="L180" s="357"/>
      <c r="M180" s="361"/>
    </row>
    <row r="181" spans="1:13" ht="21" customHeight="1">
      <c r="A181" s="275">
        <v>115</v>
      </c>
      <c r="B181" s="138" t="s">
        <v>86</v>
      </c>
      <c r="C181" s="134">
        <v>100000</v>
      </c>
      <c r="D181" s="134"/>
      <c r="E181" s="134"/>
      <c r="F181" s="134">
        <v>100000</v>
      </c>
      <c r="G181" s="134"/>
      <c r="H181" s="134">
        <v>35467</v>
      </c>
      <c r="I181" s="134"/>
      <c r="J181" s="134"/>
      <c r="K181" s="134"/>
      <c r="L181" s="355" t="s">
        <v>502</v>
      </c>
      <c r="M181" s="256"/>
    </row>
    <row r="182" spans="1:13" ht="47.25">
      <c r="A182" s="275">
        <v>116</v>
      </c>
      <c r="B182" s="123" t="s">
        <v>87</v>
      </c>
      <c r="C182" s="142">
        <v>185000</v>
      </c>
      <c r="D182" s="142"/>
      <c r="E182" s="142"/>
      <c r="F182" s="142">
        <v>185000</v>
      </c>
      <c r="G182" s="134">
        <v>166500</v>
      </c>
      <c r="H182" s="134">
        <v>67950</v>
      </c>
      <c r="I182" s="134"/>
      <c r="J182" s="134">
        <f>H182</f>
        <v>67950</v>
      </c>
      <c r="K182" s="134">
        <f>C182-J182</f>
        <v>117050</v>
      </c>
      <c r="L182" s="355" t="s">
        <v>453</v>
      </c>
      <c r="M182" s="256"/>
    </row>
    <row r="183" spans="1:13" ht="47.25">
      <c r="A183" s="275">
        <v>117</v>
      </c>
      <c r="B183" s="138" t="s">
        <v>88</v>
      </c>
      <c r="C183" s="134">
        <v>72000</v>
      </c>
      <c r="D183" s="134"/>
      <c r="E183" s="134"/>
      <c r="F183" s="134">
        <v>72000</v>
      </c>
      <c r="G183" s="134">
        <v>68000</v>
      </c>
      <c r="H183" s="134">
        <f>31280+20400</f>
        <v>51680</v>
      </c>
      <c r="I183" s="134">
        <f>G183-H183</f>
        <v>16320</v>
      </c>
      <c r="J183" s="134">
        <f>H183+I183</f>
        <v>68000</v>
      </c>
      <c r="K183" s="134">
        <f>C183-J183</f>
        <v>4000</v>
      </c>
      <c r="L183" s="355" t="s">
        <v>453</v>
      </c>
      <c r="M183" s="256"/>
    </row>
    <row r="184" spans="1:13" ht="31.5">
      <c r="A184" s="275">
        <v>118</v>
      </c>
      <c r="B184" s="138" t="s">
        <v>91</v>
      </c>
      <c r="C184" s="134">
        <f>205875*1.12</f>
        <v>230580.00000000003</v>
      </c>
      <c r="D184" s="134"/>
      <c r="E184" s="134"/>
      <c r="F184" s="134">
        <f>C184</f>
        <v>230580.00000000003</v>
      </c>
      <c r="G184" s="134">
        <v>0</v>
      </c>
      <c r="H184" s="134">
        <v>145389.15</v>
      </c>
      <c r="I184" s="134"/>
      <c r="J184" s="134">
        <f>H184+37619.67+19167*2</f>
        <v>221342.82</v>
      </c>
      <c r="K184" s="134">
        <f>F184-J184</f>
        <v>9237.1800000000221</v>
      </c>
      <c r="L184" s="355" t="s">
        <v>454</v>
      </c>
      <c r="M184" s="256"/>
    </row>
    <row r="185" spans="1:13" ht="63">
      <c r="A185" s="275">
        <v>119</v>
      </c>
      <c r="B185" s="123" t="s">
        <v>93</v>
      </c>
      <c r="C185" s="134">
        <v>200000</v>
      </c>
      <c r="D185" s="134"/>
      <c r="E185" s="134"/>
      <c r="F185" s="134">
        <f>C185</f>
        <v>200000</v>
      </c>
      <c r="G185" s="134">
        <v>176964.29</v>
      </c>
      <c r="H185" s="134">
        <v>94050</v>
      </c>
      <c r="I185" s="134"/>
      <c r="J185" s="134"/>
      <c r="K185" s="134"/>
      <c r="L185" s="355" t="s">
        <v>456</v>
      </c>
      <c r="M185" s="256"/>
    </row>
    <row r="186" spans="1:13" ht="31.5">
      <c r="A186" s="275">
        <v>120</v>
      </c>
      <c r="B186" s="138" t="s">
        <v>94</v>
      </c>
      <c r="C186" s="134">
        <v>5400000</v>
      </c>
      <c r="D186" s="134"/>
      <c r="E186" s="134"/>
      <c r="F186" s="134">
        <v>5400000</v>
      </c>
      <c r="G186" s="134"/>
      <c r="H186" s="134">
        <v>3600000</v>
      </c>
      <c r="I186" s="134">
        <f>F186-H186</f>
        <v>1800000</v>
      </c>
      <c r="J186" s="134">
        <f>H186/8*12</f>
        <v>5400000</v>
      </c>
      <c r="K186" s="134">
        <f>F186-J186</f>
        <v>0</v>
      </c>
      <c r="L186" s="134"/>
      <c r="M186" s="256"/>
    </row>
    <row r="187" spans="1:13" ht="31.5">
      <c r="A187" s="275">
        <v>121</v>
      </c>
      <c r="B187" s="138" t="s">
        <v>243</v>
      </c>
      <c r="C187" s="134">
        <v>198200</v>
      </c>
      <c r="D187" s="134"/>
      <c r="E187" s="134"/>
      <c r="F187" s="134">
        <v>198200</v>
      </c>
      <c r="G187" s="134"/>
      <c r="H187" s="134"/>
      <c r="I187" s="134"/>
      <c r="J187" s="134"/>
      <c r="K187" s="134"/>
      <c r="L187" s="134"/>
      <c r="M187" s="444" t="s">
        <v>481</v>
      </c>
    </row>
    <row r="188" spans="1:13" ht="31.5">
      <c r="A188" s="275">
        <v>122</v>
      </c>
      <c r="B188" s="138" t="s">
        <v>244</v>
      </c>
      <c r="C188" s="134">
        <v>198200</v>
      </c>
      <c r="D188" s="134"/>
      <c r="E188" s="134"/>
      <c r="F188" s="134">
        <v>198200</v>
      </c>
      <c r="G188" s="134"/>
      <c r="H188" s="134"/>
      <c r="I188" s="134"/>
      <c r="J188" s="134"/>
      <c r="K188" s="134"/>
      <c r="L188" s="134"/>
      <c r="M188" s="445"/>
    </row>
    <row r="189" spans="1:13" ht="31.5">
      <c r="A189" s="275">
        <v>123</v>
      </c>
      <c r="B189" s="138" t="s">
        <v>245</v>
      </c>
      <c r="C189" s="134">
        <v>198200</v>
      </c>
      <c r="D189" s="134"/>
      <c r="E189" s="134"/>
      <c r="F189" s="134">
        <v>198200</v>
      </c>
      <c r="G189" s="134"/>
      <c r="H189" s="134"/>
      <c r="I189" s="134"/>
      <c r="J189" s="134"/>
      <c r="K189" s="134"/>
      <c r="L189" s="134"/>
      <c r="M189" s="445"/>
    </row>
    <row r="190" spans="1:13" ht="15.75">
      <c r="A190" s="275">
        <v>124</v>
      </c>
      <c r="B190" s="138" t="s">
        <v>233</v>
      </c>
      <c r="C190" s="134">
        <v>153100</v>
      </c>
      <c r="D190" s="134"/>
      <c r="E190" s="134"/>
      <c r="F190" s="134">
        <v>153100</v>
      </c>
      <c r="G190" s="134"/>
      <c r="H190" s="134"/>
      <c r="I190" s="134"/>
      <c r="J190" s="134"/>
      <c r="K190" s="134"/>
      <c r="L190" s="134"/>
      <c r="M190" s="445"/>
    </row>
    <row r="191" spans="1:13" ht="31.5">
      <c r="A191" s="275">
        <v>125</v>
      </c>
      <c r="B191" s="138" t="s">
        <v>95</v>
      </c>
      <c r="C191" s="134">
        <v>97200</v>
      </c>
      <c r="D191" s="134"/>
      <c r="E191" s="134"/>
      <c r="F191" s="134">
        <v>97200</v>
      </c>
      <c r="G191" s="134"/>
      <c r="H191" s="134"/>
      <c r="I191" s="134"/>
      <c r="J191" s="134"/>
      <c r="K191" s="134"/>
      <c r="L191" s="134"/>
      <c r="M191" s="445"/>
    </row>
    <row r="192" spans="1:13" ht="15.75">
      <c r="A192" s="275">
        <v>126</v>
      </c>
      <c r="B192" s="138" t="s">
        <v>96</v>
      </c>
      <c r="C192" s="134">
        <v>4300</v>
      </c>
      <c r="D192" s="134"/>
      <c r="E192" s="134"/>
      <c r="F192" s="134">
        <v>4300</v>
      </c>
      <c r="G192" s="134"/>
      <c r="H192" s="134">
        <v>3857.13</v>
      </c>
      <c r="I192" s="134"/>
      <c r="J192" s="134"/>
      <c r="K192" s="134"/>
      <c r="L192" s="134"/>
      <c r="M192" s="256"/>
    </row>
    <row r="193" spans="1:13" ht="29.45" customHeight="1">
      <c r="A193" s="363"/>
      <c r="B193" s="356" t="s">
        <v>388</v>
      </c>
      <c r="C193" s="357">
        <f>SUM(C181:C192)</f>
        <v>7036780</v>
      </c>
      <c r="D193" s="357">
        <f t="shared" ref="D193:K193" si="24">SUM(D181:D192)</f>
        <v>0</v>
      </c>
      <c r="E193" s="357"/>
      <c r="F193" s="357">
        <f t="shared" si="24"/>
        <v>7036780</v>
      </c>
      <c r="G193" s="357">
        <f t="shared" si="24"/>
        <v>411464.29000000004</v>
      </c>
      <c r="H193" s="357">
        <f t="shared" si="24"/>
        <v>3998393.28</v>
      </c>
      <c r="I193" s="357"/>
      <c r="J193" s="357">
        <f t="shared" si="24"/>
        <v>5757292.8200000003</v>
      </c>
      <c r="K193" s="357">
        <f t="shared" si="24"/>
        <v>130287.18000000002</v>
      </c>
      <c r="L193" s="357"/>
      <c r="M193" s="361"/>
    </row>
    <row r="194" spans="1:13" ht="47.25">
      <c r="A194" s="275">
        <v>127</v>
      </c>
      <c r="B194" s="138" t="s">
        <v>97</v>
      </c>
      <c r="C194" s="134">
        <v>161267.16</v>
      </c>
      <c r="D194" s="134"/>
      <c r="E194" s="134"/>
      <c r="F194" s="134">
        <v>161267.16</v>
      </c>
      <c r="G194" s="134">
        <v>117927.83</v>
      </c>
      <c r="H194" s="134">
        <v>66842.59</v>
      </c>
      <c r="I194" s="134"/>
      <c r="J194" s="134">
        <f>H194</f>
        <v>66842.59</v>
      </c>
      <c r="K194" s="134">
        <f>G194-J194</f>
        <v>51085.240000000005</v>
      </c>
      <c r="L194" s="355" t="s">
        <v>453</v>
      </c>
      <c r="M194" s="374" t="s">
        <v>496</v>
      </c>
    </row>
    <row r="195" spans="1:13" ht="21.6" customHeight="1">
      <c r="A195" s="363"/>
      <c r="B195" s="356" t="s">
        <v>391</v>
      </c>
      <c r="C195" s="357">
        <f>SUM(C194)</f>
        <v>161267.16</v>
      </c>
      <c r="D195" s="357">
        <f t="shared" ref="D195:K195" si="25">SUM(D194)</f>
        <v>0</v>
      </c>
      <c r="E195" s="357"/>
      <c r="F195" s="357">
        <f t="shared" si="25"/>
        <v>161267.16</v>
      </c>
      <c r="G195" s="357">
        <f t="shared" si="25"/>
        <v>117927.83</v>
      </c>
      <c r="H195" s="357">
        <f t="shared" si="25"/>
        <v>66842.59</v>
      </c>
      <c r="I195" s="357"/>
      <c r="J195" s="357">
        <f t="shared" si="25"/>
        <v>66842.59</v>
      </c>
      <c r="K195" s="357">
        <f t="shared" si="25"/>
        <v>51085.240000000005</v>
      </c>
      <c r="L195" s="357"/>
      <c r="M195" s="361"/>
    </row>
    <row r="196" spans="1:13" ht="114.75">
      <c r="A196" s="275">
        <v>128</v>
      </c>
      <c r="B196" s="138" t="s">
        <v>156</v>
      </c>
      <c r="C196" s="134">
        <f>2427155.35714286*1.12</f>
        <v>2718414.0000000037</v>
      </c>
      <c r="D196" s="134"/>
      <c r="E196" s="134"/>
      <c r="F196" s="134">
        <f>C196</f>
        <v>2718414.0000000037</v>
      </c>
      <c r="G196" s="134">
        <v>0</v>
      </c>
      <c r="H196" s="134"/>
      <c r="I196" s="134"/>
      <c r="J196" s="134"/>
      <c r="K196" s="134"/>
      <c r="L196" s="355" t="s">
        <v>454</v>
      </c>
      <c r="M196" s="374" t="s">
        <v>482</v>
      </c>
    </row>
    <row r="197" spans="1:13" ht="30" customHeight="1">
      <c r="A197" s="275">
        <v>131</v>
      </c>
      <c r="B197" s="138" t="s">
        <v>98</v>
      </c>
      <c r="C197" s="134">
        <v>109995.84</v>
      </c>
      <c r="D197" s="134"/>
      <c r="E197" s="134"/>
      <c r="F197" s="134">
        <v>109995.84</v>
      </c>
      <c r="G197" s="134">
        <v>84240</v>
      </c>
      <c r="H197" s="134">
        <f>G197</f>
        <v>84240</v>
      </c>
      <c r="I197" s="134"/>
      <c r="J197" s="134">
        <f>H197</f>
        <v>84240</v>
      </c>
      <c r="K197" s="134">
        <f>F197-J197</f>
        <v>25755.839999999997</v>
      </c>
      <c r="L197" s="379"/>
      <c r="M197" s="256"/>
    </row>
    <row r="198" spans="1:13" ht="63">
      <c r="A198" s="275">
        <v>132</v>
      </c>
      <c r="B198" s="138" t="s">
        <v>99</v>
      </c>
      <c r="C198" s="134">
        <v>298400</v>
      </c>
      <c r="D198" s="134"/>
      <c r="E198" s="134"/>
      <c r="F198" s="134">
        <f>C198</f>
        <v>298400</v>
      </c>
      <c r="G198" s="134"/>
      <c r="H198" s="134"/>
      <c r="I198" s="134"/>
      <c r="J198" s="134"/>
      <c r="K198" s="134"/>
      <c r="L198" s="355" t="s">
        <v>454</v>
      </c>
      <c r="M198" s="256"/>
    </row>
    <row r="199" spans="1:13" ht="46.9" customHeight="1">
      <c r="A199" s="363"/>
      <c r="B199" s="356" t="s">
        <v>437</v>
      </c>
      <c r="C199" s="357">
        <f>SUM(C196:C198)</f>
        <v>3126809.8400000036</v>
      </c>
      <c r="D199" s="357">
        <f t="shared" ref="D199:K199" si="26">SUM(D196:D198)</f>
        <v>0</v>
      </c>
      <c r="E199" s="357"/>
      <c r="F199" s="357">
        <f t="shared" si="26"/>
        <v>3126809.8400000036</v>
      </c>
      <c r="G199" s="357">
        <f t="shared" si="26"/>
        <v>84240</v>
      </c>
      <c r="H199" s="357">
        <f t="shared" si="26"/>
        <v>84240</v>
      </c>
      <c r="I199" s="357"/>
      <c r="J199" s="357">
        <f t="shared" si="26"/>
        <v>84240</v>
      </c>
      <c r="K199" s="357">
        <f t="shared" si="26"/>
        <v>25755.839999999997</v>
      </c>
      <c r="L199" s="357"/>
      <c r="M199" s="361"/>
    </row>
    <row r="200" spans="1:13" ht="31.5">
      <c r="A200" s="275">
        <v>134</v>
      </c>
      <c r="B200" s="138" t="s">
        <v>100</v>
      </c>
      <c r="C200" s="134">
        <v>319690.8</v>
      </c>
      <c r="D200" s="134"/>
      <c r="E200" s="134"/>
      <c r="F200" s="134">
        <f t="shared" ref="F200:F218" si="27">C200+D200</f>
        <v>319690.8</v>
      </c>
      <c r="G200" s="141"/>
      <c r="H200" s="134"/>
      <c r="I200" s="134"/>
      <c r="J200" s="134"/>
      <c r="K200" s="134"/>
      <c r="L200" s="441" t="s">
        <v>454</v>
      </c>
      <c r="M200" s="446" t="s">
        <v>497</v>
      </c>
    </row>
    <row r="201" spans="1:13" ht="31.5">
      <c r="A201" s="275">
        <v>135</v>
      </c>
      <c r="B201" s="138" t="s">
        <v>101</v>
      </c>
      <c r="C201" s="134">
        <v>494251.2</v>
      </c>
      <c r="D201" s="134">
        <v>-494251.2</v>
      </c>
      <c r="E201" s="134"/>
      <c r="F201" s="134">
        <f t="shared" si="27"/>
        <v>0</v>
      </c>
      <c r="G201" s="141"/>
      <c r="H201" s="134"/>
      <c r="I201" s="134"/>
      <c r="J201" s="134"/>
      <c r="K201" s="134"/>
      <c r="L201" s="413"/>
      <c r="M201" s="447"/>
    </row>
    <row r="202" spans="1:13" ht="31.5">
      <c r="A202" s="275">
        <v>136</v>
      </c>
      <c r="B202" s="138" t="s">
        <v>102</v>
      </c>
      <c r="C202" s="134">
        <v>3024000</v>
      </c>
      <c r="D202" s="134">
        <v>423360</v>
      </c>
      <c r="E202" s="134"/>
      <c r="F202" s="134">
        <f t="shared" si="27"/>
        <v>3447360</v>
      </c>
      <c r="G202" s="141"/>
      <c r="H202" s="134"/>
      <c r="I202" s="134"/>
      <c r="J202" s="134"/>
      <c r="K202" s="134"/>
      <c r="L202" s="413"/>
      <c r="M202" s="447"/>
    </row>
    <row r="203" spans="1:13" ht="31.5">
      <c r="A203" s="275">
        <v>137</v>
      </c>
      <c r="B203" s="138" t="s">
        <v>103</v>
      </c>
      <c r="C203" s="134">
        <v>285120</v>
      </c>
      <c r="D203" s="134"/>
      <c r="E203" s="134"/>
      <c r="F203" s="134">
        <f t="shared" si="27"/>
        <v>285120</v>
      </c>
      <c r="G203" s="141"/>
      <c r="H203" s="134"/>
      <c r="I203" s="134"/>
      <c r="J203" s="134"/>
      <c r="K203" s="134"/>
      <c r="L203" s="413"/>
      <c r="M203" s="447"/>
    </row>
    <row r="204" spans="1:13" ht="31.5">
      <c r="A204" s="275">
        <v>138</v>
      </c>
      <c r="B204" s="138" t="s">
        <v>104</v>
      </c>
      <c r="C204" s="134">
        <v>433663.2</v>
      </c>
      <c r="D204" s="134">
        <v>-433663.2</v>
      </c>
      <c r="E204" s="134"/>
      <c r="F204" s="134">
        <f t="shared" si="27"/>
        <v>0</v>
      </c>
      <c r="G204" s="141"/>
      <c r="H204" s="134"/>
      <c r="I204" s="134"/>
      <c r="J204" s="134"/>
      <c r="K204" s="134"/>
      <c r="L204" s="413"/>
      <c r="M204" s="447"/>
    </row>
    <row r="205" spans="1:13" ht="31.5">
      <c r="A205" s="275">
        <v>139</v>
      </c>
      <c r="B205" s="138" t="s">
        <v>105</v>
      </c>
      <c r="C205" s="134">
        <v>495720</v>
      </c>
      <c r="D205" s="134"/>
      <c r="E205" s="134"/>
      <c r="F205" s="134">
        <f t="shared" si="27"/>
        <v>495720</v>
      </c>
      <c r="G205" s="141"/>
      <c r="H205" s="134"/>
      <c r="I205" s="134"/>
      <c r="J205" s="134"/>
      <c r="K205" s="134"/>
      <c r="L205" s="413"/>
      <c r="M205" s="447"/>
    </row>
    <row r="206" spans="1:13" ht="31.5">
      <c r="A206" s="275">
        <v>140</v>
      </c>
      <c r="B206" s="138" t="s">
        <v>106</v>
      </c>
      <c r="C206" s="134">
        <v>949762.8</v>
      </c>
      <c r="D206" s="134">
        <v>-949762.8</v>
      </c>
      <c r="E206" s="134"/>
      <c r="F206" s="134">
        <f t="shared" si="27"/>
        <v>0</v>
      </c>
      <c r="G206" s="141"/>
      <c r="H206" s="134"/>
      <c r="I206" s="134"/>
      <c r="J206" s="134"/>
      <c r="K206" s="134"/>
      <c r="L206" s="413"/>
      <c r="M206" s="447"/>
    </row>
    <row r="207" spans="1:13" ht="31.5">
      <c r="A207" s="275">
        <v>141</v>
      </c>
      <c r="B207" s="138" t="s">
        <v>107</v>
      </c>
      <c r="C207" s="134">
        <v>1512000</v>
      </c>
      <c r="D207" s="134">
        <v>211680</v>
      </c>
      <c r="E207" s="134"/>
      <c r="F207" s="134">
        <f t="shared" si="27"/>
        <v>1723680</v>
      </c>
      <c r="G207" s="141"/>
      <c r="H207" s="134"/>
      <c r="I207" s="134"/>
      <c r="J207" s="134"/>
      <c r="K207" s="134"/>
      <c r="L207" s="413"/>
      <c r="M207" s="447"/>
    </row>
    <row r="208" spans="1:13" ht="31.5">
      <c r="A208" s="275">
        <v>142</v>
      </c>
      <c r="B208" s="138" t="s">
        <v>108</v>
      </c>
      <c r="C208" s="134">
        <v>7128000</v>
      </c>
      <c r="D208" s="134">
        <v>997920.03</v>
      </c>
      <c r="E208" s="134"/>
      <c r="F208" s="134">
        <f t="shared" si="27"/>
        <v>8125920.0300000003</v>
      </c>
      <c r="G208" s="141"/>
      <c r="H208" s="134"/>
      <c r="I208" s="134"/>
      <c r="J208" s="134"/>
      <c r="K208" s="134"/>
      <c r="L208" s="413"/>
      <c r="M208" s="447"/>
    </row>
    <row r="209" spans="1:13" ht="31.5">
      <c r="A209" s="275">
        <v>143</v>
      </c>
      <c r="B209" s="138" t="s">
        <v>109</v>
      </c>
      <c r="C209" s="134">
        <v>378000</v>
      </c>
      <c r="D209" s="134">
        <v>37800</v>
      </c>
      <c r="E209" s="134"/>
      <c r="F209" s="134">
        <f t="shared" si="27"/>
        <v>415800</v>
      </c>
      <c r="G209" s="141"/>
      <c r="H209" s="134"/>
      <c r="I209" s="134"/>
      <c r="J209" s="134"/>
      <c r="K209" s="134"/>
      <c r="L209" s="413"/>
      <c r="M209" s="447"/>
    </row>
    <row r="210" spans="1:13" ht="31.5">
      <c r="A210" s="275">
        <v>144</v>
      </c>
      <c r="B210" s="138" t="s">
        <v>110</v>
      </c>
      <c r="C210" s="134">
        <v>81648</v>
      </c>
      <c r="D210" s="134">
        <v>3265.92</v>
      </c>
      <c r="E210" s="134"/>
      <c r="F210" s="134">
        <f t="shared" si="27"/>
        <v>84913.919999999998</v>
      </c>
      <c r="G210" s="141"/>
      <c r="H210" s="134"/>
      <c r="I210" s="134"/>
      <c r="J210" s="134"/>
      <c r="K210" s="134"/>
      <c r="L210" s="413"/>
      <c r="M210" s="447"/>
    </row>
    <row r="211" spans="1:13" ht="31.5">
      <c r="A211" s="275">
        <v>145</v>
      </c>
      <c r="B211" s="138" t="s">
        <v>111</v>
      </c>
      <c r="C211" s="134">
        <v>211140</v>
      </c>
      <c r="D211" s="134">
        <v>8445.64</v>
      </c>
      <c r="E211" s="134"/>
      <c r="F211" s="134">
        <f t="shared" si="27"/>
        <v>219585.64</v>
      </c>
      <c r="G211" s="141"/>
      <c r="H211" s="134"/>
      <c r="I211" s="134"/>
      <c r="J211" s="134"/>
      <c r="K211" s="134"/>
      <c r="L211" s="413"/>
      <c r="M211" s="447"/>
    </row>
    <row r="212" spans="1:13" ht="31.5">
      <c r="A212" s="275">
        <v>146</v>
      </c>
      <c r="B212" s="138" t="s">
        <v>112</v>
      </c>
      <c r="C212" s="134">
        <v>1518480</v>
      </c>
      <c r="D212" s="134"/>
      <c r="E212" s="134"/>
      <c r="F212" s="134">
        <f t="shared" si="27"/>
        <v>1518480</v>
      </c>
      <c r="G212" s="141"/>
      <c r="H212" s="134"/>
      <c r="I212" s="134"/>
      <c r="J212" s="134"/>
      <c r="K212" s="134"/>
      <c r="L212" s="413"/>
      <c r="M212" s="447"/>
    </row>
    <row r="213" spans="1:13" ht="31.5">
      <c r="A213" s="275">
        <v>147</v>
      </c>
      <c r="B213" s="138" t="s">
        <v>389</v>
      </c>
      <c r="C213" s="134">
        <v>668304</v>
      </c>
      <c r="D213" s="134">
        <v>373.68</v>
      </c>
      <c r="E213" s="134"/>
      <c r="F213" s="134">
        <f t="shared" si="27"/>
        <v>668677.68000000005</v>
      </c>
      <c r="G213" s="141"/>
      <c r="H213" s="134"/>
      <c r="I213" s="134"/>
      <c r="J213" s="134"/>
      <c r="K213" s="134"/>
      <c r="L213" s="413"/>
      <c r="M213" s="447"/>
    </row>
    <row r="214" spans="1:13" ht="31.5">
      <c r="A214" s="275">
        <v>148</v>
      </c>
      <c r="B214" s="138" t="s">
        <v>113</v>
      </c>
      <c r="C214" s="134">
        <v>2538000</v>
      </c>
      <c r="D214" s="134">
        <v>-0.14599999999999999</v>
      </c>
      <c r="E214" s="134"/>
      <c r="F214" s="134">
        <f t="shared" si="27"/>
        <v>2537999.8539999998</v>
      </c>
      <c r="G214" s="141"/>
      <c r="H214" s="134"/>
      <c r="I214" s="134"/>
      <c r="J214" s="134"/>
      <c r="K214" s="134"/>
      <c r="L214" s="413"/>
      <c r="M214" s="447"/>
    </row>
    <row r="215" spans="1:13" ht="63">
      <c r="A215" s="275">
        <v>149</v>
      </c>
      <c r="B215" s="138" t="s">
        <v>114</v>
      </c>
      <c r="C215" s="134">
        <v>1078920</v>
      </c>
      <c r="D215" s="134">
        <v>107891.95</v>
      </c>
      <c r="E215" s="134"/>
      <c r="F215" s="134">
        <f t="shared" si="27"/>
        <v>1186811.95</v>
      </c>
      <c r="G215" s="141"/>
      <c r="H215" s="134"/>
      <c r="I215" s="134"/>
      <c r="J215" s="134"/>
      <c r="K215" s="134"/>
      <c r="L215" s="413"/>
      <c r="M215" s="447"/>
    </row>
    <row r="216" spans="1:13" ht="47.25">
      <c r="A216" s="275">
        <v>150</v>
      </c>
      <c r="B216" s="138" t="s">
        <v>115</v>
      </c>
      <c r="C216" s="134">
        <v>869400</v>
      </c>
      <c r="D216" s="134">
        <v>86940</v>
      </c>
      <c r="E216" s="134"/>
      <c r="F216" s="134">
        <f t="shared" si="27"/>
        <v>956340</v>
      </c>
      <c r="G216" s="141"/>
      <c r="H216" s="134"/>
      <c r="I216" s="134"/>
      <c r="J216" s="134"/>
      <c r="K216" s="134"/>
      <c r="L216" s="413"/>
      <c r="M216" s="447"/>
    </row>
    <row r="217" spans="1:13" ht="15.75">
      <c r="A217" s="275">
        <v>151</v>
      </c>
      <c r="B217" s="138" t="s">
        <v>116</v>
      </c>
      <c r="C217" s="134">
        <v>50479.199999999997</v>
      </c>
      <c r="D217" s="134"/>
      <c r="E217" s="134"/>
      <c r="F217" s="134">
        <f t="shared" si="27"/>
        <v>50479.199999999997</v>
      </c>
      <c r="G217" s="141"/>
      <c r="H217" s="134"/>
      <c r="I217" s="134"/>
      <c r="J217" s="134"/>
      <c r="K217" s="134"/>
      <c r="L217" s="413"/>
      <c r="M217" s="447"/>
    </row>
    <row r="218" spans="1:13" ht="47.25">
      <c r="A218" s="275">
        <v>152</v>
      </c>
      <c r="B218" s="138" t="s">
        <v>117</v>
      </c>
      <c r="C218" s="134">
        <v>27646.92</v>
      </c>
      <c r="D218" s="134"/>
      <c r="E218" s="134"/>
      <c r="F218" s="134">
        <f t="shared" si="27"/>
        <v>27646.92</v>
      </c>
      <c r="G218" s="141"/>
      <c r="H218" s="134"/>
      <c r="I218" s="134"/>
      <c r="J218" s="134"/>
      <c r="K218" s="134"/>
      <c r="L218" s="413"/>
      <c r="M218" s="447"/>
    </row>
    <row r="219" spans="1:13" ht="21" customHeight="1">
      <c r="A219" s="363"/>
      <c r="B219" s="356" t="s">
        <v>390</v>
      </c>
      <c r="C219" s="357">
        <f>SUM(C200:C218)</f>
        <v>22064226.120000001</v>
      </c>
      <c r="D219" s="357">
        <f>SUM(D200:D218)</f>
        <v>-0.12600000017846469</v>
      </c>
      <c r="E219" s="357"/>
      <c r="F219" s="357">
        <f>SUM(F200:F218)</f>
        <v>22064225.993999999</v>
      </c>
      <c r="G219" s="357">
        <f>SUM(G200:G218)</f>
        <v>0</v>
      </c>
      <c r="H219" s="357">
        <f>SUM(H200:H218)</f>
        <v>0</v>
      </c>
      <c r="I219" s="357"/>
      <c r="J219" s="357">
        <f>SUM(J200:J218)</f>
        <v>0</v>
      </c>
      <c r="K219" s="357">
        <f>SUM(K200:K218)</f>
        <v>0</v>
      </c>
      <c r="L219" s="357"/>
      <c r="M219" s="361"/>
    </row>
    <row r="220" spans="1:13" ht="15.75">
      <c r="A220" s="275">
        <v>155</v>
      </c>
      <c r="B220" s="138" t="s">
        <v>159</v>
      </c>
      <c r="C220" s="134">
        <v>685420</v>
      </c>
      <c r="D220" s="134">
        <v>60279.94</v>
      </c>
      <c r="E220" s="134"/>
      <c r="F220" s="134">
        <f t="shared" ref="F220:F225" si="28">C220+D220</f>
        <v>745699.94</v>
      </c>
      <c r="G220" s="134"/>
      <c r="H220" s="134"/>
      <c r="I220" s="134"/>
      <c r="J220" s="134"/>
      <c r="K220" s="134"/>
      <c r="L220" s="441" t="s">
        <v>453</v>
      </c>
      <c r="M220" s="442" t="s">
        <v>483</v>
      </c>
    </row>
    <row r="221" spans="1:13" ht="15.75">
      <c r="A221" s="275">
        <v>156</v>
      </c>
      <c r="B221" s="138" t="s">
        <v>119</v>
      </c>
      <c r="C221" s="134">
        <v>765714</v>
      </c>
      <c r="D221" s="134">
        <v>563963.97</v>
      </c>
      <c r="E221" s="134"/>
      <c r="F221" s="134">
        <f t="shared" si="28"/>
        <v>1329677.97</v>
      </c>
      <c r="G221" s="134"/>
      <c r="H221" s="134"/>
      <c r="I221" s="134"/>
      <c r="J221" s="134"/>
      <c r="K221" s="134"/>
      <c r="L221" s="413"/>
      <c r="M221" s="443"/>
    </row>
    <row r="222" spans="1:13" ht="15.75">
      <c r="A222" s="275">
        <v>157</v>
      </c>
      <c r="B222" s="138" t="s">
        <v>120</v>
      </c>
      <c r="C222" s="134">
        <v>1024650</v>
      </c>
      <c r="D222" s="134">
        <v>-185130.03</v>
      </c>
      <c r="E222" s="134"/>
      <c r="F222" s="134">
        <f t="shared" si="28"/>
        <v>839519.97</v>
      </c>
      <c r="G222" s="134"/>
      <c r="H222" s="134"/>
      <c r="I222" s="134"/>
      <c r="J222" s="134"/>
      <c r="K222" s="134"/>
      <c r="L222" s="413"/>
      <c r="M222" s="443"/>
    </row>
    <row r="223" spans="1:13" ht="15.75">
      <c r="A223" s="275">
        <v>158</v>
      </c>
      <c r="B223" s="138" t="s">
        <v>121</v>
      </c>
      <c r="C223" s="134">
        <v>713700</v>
      </c>
      <c r="D223" s="134">
        <v>-713699.95</v>
      </c>
      <c r="E223" s="134"/>
      <c r="F223" s="134">
        <f t="shared" si="28"/>
        <v>5.0000000046566129E-2</v>
      </c>
      <c r="G223" s="134"/>
      <c r="H223" s="134"/>
      <c r="I223" s="134"/>
      <c r="J223" s="134"/>
      <c r="K223" s="134"/>
      <c r="L223" s="413"/>
      <c r="M223" s="443"/>
    </row>
    <row r="224" spans="1:13" ht="15.75">
      <c r="A224" s="275">
        <v>159</v>
      </c>
      <c r="B224" s="138" t="s">
        <v>193</v>
      </c>
      <c r="C224" s="134">
        <v>1123800</v>
      </c>
      <c r="D224" s="134">
        <v>483020.6</v>
      </c>
      <c r="E224" s="134"/>
      <c r="F224" s="134">
        <f t="shared" si="28"/>
        <v>1606820.6</v>
      </c>
      <c r="G224" s="134"/>
      <c r="H224" s="134"/>
      <c r="I224" s="134"/>
      <c r="J224" s="134"/>
      <c r="K224" s="134"/>
      <c r="L224" s="413"/>
      <c r="M224" s="443"/>
    </row>
    <row r="225" spans="1:13" ht="15.75">
      <c r="A225" s="275">
        <v>160</v>
      </c>
      <c r="B225" s="138" t="s">
        <v>122</v>
      </c>
      <c r="C225" s="134">
        <v>1708564</v>
      </c>
      <c r="D225" s="134">
        <v>1072655.98</v>
      </c>
      <c r="E225" s="134"/>
      <c r="F225" s="134">
        <f t="shared" si="28"/>
        <v>2781219.98</v>
      </c>
      <c r="G225" s="134"/>
      <c r="H225" s="134"/>
      <c r="I225" s="134"/>
      <c r="J225" s="134"/>
      <c r="K225" s="134"/>
      <c r="L225" s="413"/>
      <c r="M225" s="443"/>
    </row>
    <row r="226" spans="1:13" ht="31.5">
      <c r="A226" s="275">
        <v>161</v>
      </c>
      <c r="B226" s="138" t="s">
        <v>123</v>
      </c>
      <c r="C226" s="134">
        <v>776412</v>
      </c>
      <c r="D226" s="134"/>
      <c r="E226" s="134"/>
      <c r="F226" s="134">
        <f>C226</f>
        <v>776412</v>
      </c>
      <c r="G226" s="134"/>
      <c r="H226" s="134"/>
      <c r="I226" s="134"/>
      <c r="J226" s="134"/>
      <c r="K226" s="134"/>
      <c r="L226" s="413"/>
      <c r="M226" s="443"/>
    </row>
    <row r="227" spans="1:13" ht="15.75">
      <c r="A227" s="275">
        <v>162</v>
      </c>
      <c r="B227" s="138" t="s">
        <v>124</v>
      </c>
      <c r="C227" s="134">
        <v>254976</v>
      </c>
      <c r="D227" s="134"/>
      <c r="E227" s="134"/>
      <c r="F227" s="134">
        <f>C227</f>
        <v>254976</v>
      </c>
      <c r="G227" s="134">
        <v>204620</v>
      </c>
      <c r="H227" s="134">
        <f>G227</f>
        <v>204620</v>
      </c>
      <c r="I227" s="134"/>
      <c r="J227" s="134">
        <f>H227</f>
        <v>204620</v>
      </c>
      <c r="K227" s="134">
        <f>F227-J227</f>
        <v>50356</v>
      </c>
      <c r="L227" s="413"/>
      <c r="M227" s="256"/>
    </row>
    <row r="228" spans="1:13" ht="15.75">
      <c r="A228" s="275">
        <v>163</v>
      </c>
      <c r="B228" s="138" t="s">
        <v>125</v>
      </c>
      <c r="C228" s="134">
        <v>500000</v>
      </c>
      <c r="D228" s="134"/>
      <c r="E228" s="134"/>
      <c r="F228" s="134">
        <f>C228</f>
        <v>500000</v>
      </c>
      <c r="G228" s="134"/>
      <c r="H228" s="134"/>
      <c r="I228" s="134"/>
      <c r="J228" s="134"/>
      <c r="K228" s="134"/>
      <c r="L228" s="413"/>
      <c r="M228" s="256"/>
    </row>
    <row r="229" spans="1:13" ht="15.75">
      <c r="A229" s="275">
        <v>164</v>
      </c>
      <c r="B229" s="138" t="s">
        <v>126</v>
      </c>
      <c r="C229" s="134">
        <v>1089725</v>
      </c>
      <c r="D229" s="134">
        <v>-1089725</v>
      </c>
      <c r="E229" s="134"/>
      <c r="F229" s="134">
        <f>C229+D229</f>
        <v>0</v>
      </c>
      <c r="G229" s="134"/>
      <c r="H229" s="134"/>
      <c r="I229" s="134"/>
      <c r="J229" s="134"/>
      <c r="K229" s="134"/>
      <c r="L229" s="413"/>
      <c r="M229" s="256"/>
    </row>
    <row r="230" spans="1:13" ht="21" customHeight="1">
      <c r="A230" s="360"/>
      <c r="B230" s="356" t="s">
        <v>392</v>
      </c>
      <c r="C230" s="357">
        <f>SUM(C220:C229)</f>
        <v>8642961</v>
      </c>
      <c r="D230" s="357">
        <f>SUM(D220:D229)</f>
        <v>191365.50999999978</v>
      </c>
      <c r="E230" s="357"/>
      <c r="F230" s="357">
        <f>SUM(F220:F229)</f>
        <v>8834326.5099999998</v>
      </c>
      <c r="G230" s="357">
        <f>SUM(G220:G229)</f>
        <v>204620</v>
      </c>
      <c r="H230" s="357">
        <f>SUM(H220:H229)</f>
        <v>204620</v>
      </c>
      <c r="I230" s="357"/>
      <c r="J230" s="357">
        <f>SUM(J220:J229)</f>
        <v>204620</v>
      </c>
      <c r="K230" s="357">
        <f>SUM(K220:K229)</f>
        <v>50356</v>
      </c>
      <c r="L230" s="357"/>
      <c r="M230" s="361"/>
    </row>
    <row r="231" spans="1:13" ht="24" customHeight="1" thickBot="1">
      <c r="A231" s="364"/>
      <c r="B231" s="365" t="s">
        <v>441</v>
      </c>
      <c r="C231" s="366">
        <f>C6+C9+C30+C38+C137+C149+C151+C153+C157+C165+C167+C170+C172+C180+C193+C195</f>
        <v>187273245.01428571</v>
      </c>
      <c r="D231" s="366">
        <f>D6+D9+D30+D38+D137+D149+D151+D153+D157+D165+D167+D170+D172+D180+D193+D195</f>
        <v>-3465120.3399999989</v>
      </c>
      <c r="E231" s="366"/>
      <c r="F231" s="366">
        <f>F6+F9+F30+F38+F137+F149+F151+F153+F157+F165+F167+F170+F172+F180+F193+F195</f>
        <v>168528475.90948573</v>
      </c>
      <c r="G231" s="366"/>
      <c r="H231" s="366"/>
      <c r="I231" s="366"/>
      <c r="J231" s="366"/>
      <c r="K231" s="366"/>
      <c r="L231" s="366"/>
      <c r="M231" s="367"/>
    </row>
    <row r="232" spans="1:13" ht="15.75">
      <c r="A232" s="351"/>
      <c r="B232" s="352"/>
      <c r="C232" s="353"/>
      <c r="D232" s="353"/>
      <c r="E232" s="353"/>
      <c r="F232" s="353"/>
      <c r="G232" s="353"/>
      <c r="H232" s="353"/>
      <c r="I232" s="353"/>
      <c r="J232" s="353"/>
      <c r="K232" s="353"/>
    </row>
    <row r="233" spans="1:13" ht="15.75">
      <c r="A233" s="8"/>
      <c r="B233" s="292" t="s">
        <v>338</v>
      </c>
      <c r="C233" s="289"/>
      <c r="D233" s="289"/>
      <c r="E233" s="289"/>
      <c r="F233" s="289"/>
      <c r="G233" s="289"/>
      <c r="H233" s="289"/>
      <c r="I233" s="289"/>
      <c r="J233" s="8"/>
      <c r="K233" s="8"/>
    </row>
    <row r="234" spans="1:13" ht="15.75" hidden="1">
      <c r="A234" s="291" t="s">
        <v>1</v>
      </c>
      <c r="B234" s="291" t="s">
        <v>438</v>
      </c>
      <c r="C234" s="291" t="s">
        <v>444</v>
      </c>
    </row>
    <row r="235" spans="1:13" ht="15.75" hidden="1">
      <c r="A235" s="290">
        <v>1</v>
      </c>
      <c r="B235" s="286" t="s">
        <v>446</v>
      </c>
      <c r="C235" s="267">
        <v>30126283.25</v>
      </c>
      <c r="H235" s="288"/>
      <c r="I235" s="288"/>
      <c r="J235" s="114"/>
    </row>
    <row r="236" spans="1:13" ht="15.75" hidden="1">
      <c r="A236" s="290">
        <v>2</v>
      </c>
      <c r="B236" s="286" t="s">
        <v>447</v>
      </c>
      <c r="C236" s="267">
        <v>2775200</v>
      </c>
    </row>
    <row r="237" spans="1:13" ht="38.450000000000003" hidden="1" customHeight="1">
      <c r="A237" s="290">
        <v>3</v>
      </c>
      <c r="B237" s="286" t="s">
        <v>448</v>
      </c>
      <c r="C237" s="267">
        <v>298000</v>
      </c>
    </row>
    <row r="238" spans="1:13" ht="15.75" hidden="1">
      <c r="A238" s="290">
        <v>4</v>
      </c>
      <c r="B238" s="286" t="s">
        <v>449</v>
      </c>
      <c r="C238" s="267">
        <v>96105.600000000006</v>
      </c>
      <c r="G238" s="133"/>
    </row>
    <row r="239" spans="1:13" ht="15.75" hidden="1">
      <c r="A239" s="290">
        <v>5</v>
      </c>
      <c r="B239" s="286" t="s">
        <v>450</v>
      </c>
      <c r="C239" s="267">
        <v>1905115.74</v>
      </c>
      <c r="F239" s="289"/>
    </row>
    <row r="240" spans="1:13" ht="15.75" hidden="1">
      <c r="A240" s="286"/>
      <c r="B240" s="285" t="s">
        <v>440</v>
      </c>
      <c r="C240" s="386">
        <f>SUM(C235:C239)</f>
        <v>35200704.590000004</v>
      </c>
      <c r="D240" s="280"/>
      <c r="E240" s="280"/>
    </row>
    <row r="241" spans="2:6" ht="47.25">
      <c r="C241" s="291" t="s">
        <v>439</v>
      </c>
      <c r="D241" s="388" t="s">
        <v>498</v>
      </c>
      <c r="E241" s="387" t="s">
        <v>500</v>
      </c>
      <c r="F241" s="387" t="s">
        <v>501</v>
      </c>
    </row>
    <row r="242" spans="2:6" ht="23.45" customHeight="1">
      <c r="C242" s="287">
        <f>657077909.38-434603946</f>
        <v>222473963.38</v>
      </c>
      <c r="D242" s="287">
        <f>C242*5%</f>
        <v>11123698.169</v>
      </c>
      <c r="E242" s="287">
        <f>D6+D9+D38+D153+D230</f>
        <v>2997273.01</v>
      </c>
      <c r="F242" s="287">
        <f>D242-E242</f>
        <v>8126425.159</v>
      </c>
    </row>
    <row r="244" spans="2:6" ht="31.5" hidden="1">
      <c r="B244" s="288" t="s">
        <v>445</v>
      </c>
      <c r="C244" s="114">
        <f>C242-C240</f>
        <v>187273258.78999999</v>
      </c>
    </row>
  </sheetData>
  <mergeCells count="8">
    <mergeCell ref="A1:K1"/>
    <mergeCell ref="L146:L148"/>
    <mergeCell ref="M220:M226"/>
    <mergeCell ref="L220:L229"/>
    <mergeCell ref="M146:M148"/>
    <mergeCell ref="M187:M191"/>
    <mergeCell ref="L200:L218"/>
    <mergeCell ref="M200:M218"/>
  </mergeCells>
  <dataValidations count="7">
    <dataValidation type="decimal" operator="greaterThan" allowBlank="1" showInputMessage="1" showErrorMessage="1" prompt="Введите утвержденную сумму на первый год трехлетнего периода" sqref="F185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G70:G72 G86 G75:G81 G182 G197 G194">
      <formula1>0</formula1>
    </dataValidation>
    <dataValidation allowBlank="1" showInputMessage="1" showErrorMessage="1" prompt="Введите дополнительную характеристику на русском языке" sqref="B80:C84 B86:C87 B70:C71 B224 B76:C76 B169 B220:B221 B196:C197 B173:E179 C171:E171 B194:E194 B181:E192 D196:E196 D220:E220 D223:E223 C168:E168"/>
    <dataValidation allowBlank="1" showInputMessage="1" showErrorMessage="1" prompt="Наименование на русском языке заполняется автоматически в соответствии с КТРУ" sqref="B78:C78"/>
    <dataValidation allowBlank="1" showInputMessage="1" showErrorMessage="1" prompt="Наименование на государственном языке заполняется автоматически в соответствии с КТРУ" sqref="B57:C66 B72:C75 B88:B94 B39:C54 C88:C136 D39:E94"/>
    <dataValidation allowBlank="1" showInputMessage="1" showErrorMessage="1" prompt="Характеристика на государственном языке заполняется автоматически в соответствии с КТРУ" sqref="B77:C77 B85:C85 B79:C79"/>
    <dataValidation allowBlank="1" showInputMessage="1" showErrorMessage="1" prompt="Введите дополнительную характеристику на государственном языке" sqref="B225:B229 B222:B223 B67:C69 D224:E226 D221:E222"/>
  </dataValidations>
  <pageMargins left="0.31496062992125984" right="0.11811023622047245" top="0.15748031496062992" bottom="0.15748031496062992" header="0.31496062992125984" footer="0.31496062992125984"/>
  <pageSetup paperSize="8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3"/>
  <sheetViews>
    <sheetView workbookViewId="0">
      <selection sqref="A1:XFD1048576"/>
    </sheetView>
  </sheetViews>
  <sheetFormatPr defaultRowHeight="15"/>
  <cols>
    <col min="1" max="1" width="6" customWidth="1"/>
    <col min="2" max="2" width="27.7109375" customWidth="1"/>
    <col min="3" max="5" width="17.28515625" customWidth="1"/>
    <col min="6" max="6" width="20.42578125" customWidth="1"/>
    <col min="7" max="7" width="21" customWidth="1"/>
    <col min="8" max="9" width="20" customWidth="1"/>
    <col min="10" max="10" width="18" customWidth="1"/>
    <col min="11" max="11" width="14.85546875" customWidth="1"/>
    <col min="12" max="12" width="16.7109375" customWidth="1"/>
    <col min="13" max="13" width="21.140625" customWidth="1"/>
    <col min="14" max="14" width="12.28515625" bestFit="1" customWidth="1"/>
  </cols>
  <sheetData>
    <row r="1" spans="1:14" ht="25.9" customHeight="1">
      <c r="A1" s="420" t="s">
        <v>430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4" ht="29.45" customHeight="1" thickBot="1">
      <c r="J2" s="133"/>
    </row>
    <row r="3" spans="1:14" ht="78.75">
      <c r="A3" s="245" t="s">
        <v>352</v>
      </c>
      <c r="B3" s="246" t="s">
        <v>340</v>
      </c>
      <c r="C3" s="246" t="s">
        <v>486</v>
      </c>
      <c r="D3" s="246" t="s">
        <v>386</v>
      </c>
      <c r="E3" s="246" t="s">
        <v>487</v>
      </c>
      <c r="F3" s="246" t="s">
        <v>488</v>
      </c>
      <c r="G3" s="246" t="s">
        <v>366</v>
      </c>
      <c r="H3" s="246" t="s">
        <v>443</v>
      </c>
      <c r="I3" s="246" t="s">
        <v>465</v>
      </c>
      <c r="J3" s="246" t="s">
        <v>442</v>
      </c>
      <c r="K3" s="246" t="s">
        <v>451</v>
      </c>
      <c r="L3" s="246" t="s">
        <v>452</v>
      </c>
      <c r="M3" s="247" t="s">
        <v>466</v>
      </c>
    </row>
    <row r="4" spans="1:14" ht="47.25">
      <c r="A4" s="250">
        <v>1</v>
      </c>
      <c r="B4" s="119" t="s">
        <v>16</v>
      </c>
      <c r="C4" s="142">
        <v>75000</v>
      </c>
      <c r="D4" s="142">
        <v>55000</v>
      </c>
      <c r="E4" s="142">
        <f>C4+D4</f>
        <v>130000</v>
      </c>
      <c r="F4" s="142">
        <f>75000+55000</f>
        <v>130000</v>
      </c>
      <c r="G4" s="142">
        <f>F4</f>
        <v>130000</v>
      </c>
      <c r="H4" s="142">
        <f>27928.56+1765.16</f>
        <v>29693.72</v>
      </c>
      <c r="I4" s="142">
        <f>10751.41*4</f>
        <v>43005.64</v>
      </c>
      <c r="J4" s="142">
        <f>27928.56+1765.16+10751.41*4</f>
        <v>72699.360000000001</v>
      </c>
      <c r="K4" s="142">
        <f>F4-J4</f>
        <v>57300.639999999999</v>
      </c>
      <c r="L4" s="355" t="s">
        <v>453</v>
      </c>
      <c r="M4" s="354"/>
    </row>
    <row r="5" spans="1:14" ht="47.25">
      <c r="A5" s="250">
        <v>2</v>
      </c>
      <c r="B5" s="119" t="s">
        <v>21</v>
      </c>
      <c r="C5" s="142">
        <v>6846000</v>
      </c>
      <c r="D5" s="142">
        <v>-55000</v>
      </c>
      <c r="E5" s="142">
        <f>C5+D5</f>
        <v>6791000</v>
      </c>
      <c r="F5" s="142">
        <f>6846000-55000</f>
        <v>6791000</v>
      </c>
      <c r="G5" s="142">
        <f>6701750+13249.61</f>
        <v>6714999.6100000003</v>
      </c>
      <c r="H5" s="142">
        <v>3678265.87</v>
      </c>
      <c r="I5" s="142">
        <f>J5-H5</f>
        <v>3036733.74</v>
      </c>
      <c r="J5" s="142">
        <v>6714999.6100000003</v>
      </c>
      <c r="K5" s="142">
        <f>F5-J5</f>
        <v>76000.389999999665</v>
      </c>
      <c r="L5" s="355" t="s">
        <v>453</v>
      </c>
      <c r="M5" s="376" t="s">
        <v>484</v>
      </c>
    </row>
    <row r="6" spans="1:14" ht="21" customHeight="1">
      <c r="A6" s="360"/>
      <c r="B6" s="356" t="s">
        <v>369</v>
      </c>
      <c r="C6" s="357">
        <f>SUM(C4:C5)</f>
        <v>6921000</v>
      </c>
      <c r="D6" s="357">
        <f>SUM(D4:D5)</f>
        <v>0</v>
      </c>
      <c r="E6" s="357">
        <f>SUM(E4:E5)</f>
        <v>6921000</v>
      </c>
      <c r="F6" s="357">
        <f t="shared" ref="F6:K6" si="0">SUM(F4:F5)</f>
        <v>6921000</v>
      </c>
      <c r="G6" s="357">
        <f t="shared" si="0"/>
        <v>6844999.6100000003</v>
      </c>
      <c r="H6" s="357">
        <f t="shared" si="0"/>
        <v>3707959.5900000003</v>
      </c>
      <c r="I6" s="357">
        <f t="shared" si="0"/>
        <v>3079739.3800000004</v>
      </c>
      <c r="J6" s="357">
        <f t="shared" si="0"/>
        <v>6787698.9700000007</v>
      </c>
      <c r="K6" s="357">
        <f t="shared" si="0"/>
        <v>133301.02999999968</v>
      </c>
      <c r="L6" s="357"/>
      <c r="M6" s="361"/>
    </row>
    <row r="7" spans="1:14" ht="63">
      <c r="A7" s="362">
        <v>3</v>
      </c>
      <c r="B7" s="119" t="s">
        <v>22</v>
      </c>
      <c r="C7" s="142">
        <v>129100</v>
      </c>
      <c r="D7" s="142">
        <v>0</v>
      </c>
      <c r="E7" s="142">
        <f>C7</f>
        <v>129100</v>
      </c>
      <c r="F7" s="142">
        <v>129100</v>
      </c>
      <c r="G7" s="142">
        <f>F7</f>
        <v>129100</v>
      </c>
      <c r="H7" s="142">
        <v>22935</v>
      </c>
      <c r="I7" s="142">
        <v>106165</v>
      </c>
      <c r="J7" s="142">
        <f>H7+I7</f>
        <v>129100</v>
      </c>
      <c r="K7" s="142">
        <f>G7-J7</f>
        <v>0</v>
      </c>
      <c r="L7" s="355" t="s">
        <v>454</v>
      </c>
      <c r="M7" s="376" t="s">
        <v>485</v>
      </c>
    </row>
    <row r="8" spans="1:14" ht="55.15" customHeight="1">
      <c r="A8" s="362">
        <v>4</v>
      </c>
      <c r="B8" s="119" t="s">
        <v>26</v>
      </c>
      <c r="C8" s="142">
        <v>8495482</v>
      </c>
      <c r="D8" s="142">
        <v>70000</v>
      </c>
      <c r="E8" s="142">
        <f>C8+D8</f>
        <v>8565482</v>
      </c>
      <c r="F8" s="142">
        <f>C8+D8</f>
        <v>8565482</v>
      </c>
      <c r="G8" s="142">
        <v>64995</v>
      </c>
      <c r="H8" s="142">
        <f>G8</f>
        <v>64995</v>
      </c>
      <c r="I8" s="142"/>
      <c r="J8" s="142">
        <f>H8</f>
        <v>64995</v>
      </c>
      <c r="K8" s="142">
        <f>F8-H8</f>
        <v>8500487</v>
      </c>
      <c r="L8" s="355" t="s">
        <v>455</v>
      </c>
      <c r="M8" s="376" t="s">
        <v>467</v>
      </c>
    </row>
    <row r="9" spans="1:14" ht="25.9" customHeight="1">
      <c r="A9" s="360"/>
      <c r="B9" s="356" t="s">
        <v>370</v>
      </c>
      <c r="C9" s="357">
        <f t="shared" ref="C9:K9" si="1">SUM(C7:C8)</f>
        <v>8624582</v>
      </c>
      <c r="D9" s="358">
        <f t="shared" si="1"/>
        <v>70000</v>
      </c>
      <c r="E9" s="357">
        <f t="shared" si="1"/>
        <v>8694582</v>
      </c>
      <c r="F9" s="357">
        <f t="shared" si="1"/>
        <v>8694582</v>
      </c>
      <c r="G9" s="357">
        <f t="shared" si="1"/>
        <v>194095</v>
      </c>
      <c r="H9" s="357">
        <f t="shared" si="1"/>
        <v>87930</v>
      </c>
      <c r="I9" s="357">
        <f t="shared" si="1"/>
        <v>106165</v>
      </c>
      <c r="J9" s="357">
        <f t="shared" si="1"/>
        <v>194095</v>
      </c>
      <c r="K9" s="357">
        <f t="shared" si="1"/>
        <v>8500487</v>
      </c>
      <c r="L9" s="357"/>
      <c r="M9" s="361"/>
    </row>
    <row r="10" spans="1:14" ht="77.25">
      <c r="A10" s="250">
        <v>5</v>
      </c>
      <c r="B10" s="119" t="s">
        <v>27</v>
      </c>
      <c r="C10" s="142">
        <f>16033995.7142857*1.12+5387200</f>
        <v>23345275.199999984</v>
      </c>
      <c r="D10" s="142">
        <f>-17958075.2</f>
        <v>-17958075.199999999</v>
      </c>
      <c r="E10" s="142">
        <f t="shared" ref="E10:E29" si="2">C10+D10</f>
        <v>5387199.9999999851</v>
      </c>
      <c r="F10" s="142">
        <f>E10</f>
        <v>5387199.9999999851</v>
      </c>
      <c r="G10" s="142">
        <v>0</v>
      </c>
      <c r="H10" s="142">
        <v>5387200</v>
      </c>
      <c r="I10" s="142">
        <v>0</v>
      </c>
      <c r="J10" s="370">
        <f>H10</f>
        <v>5387200</v>
      </c>
      <c r="K10" s="142">
        <f>G10-J10</f>
        <v>-5387200</v>
      </c>
      <c r="L10" s="355" t="s">
        <v>456</v>
      </c>
      <c r="M10" s="373" t="s">
        <v>470</v>
      </c>
    </row>
    <row r="11" spans="1:14" ht="64.5">
      <c r="A11" s="250">
        <v>6</v>
      </c>
      <c r="B11" s="119" t="s">
        <v>367</v>
      </c>
      <c r="C11" s="142">
        <f>843341.517857143*1.12</f>
        <v>944542.50000000023</v>
      </c>
      <c r="D11" s="142">
        <v>4555458</v>
      </c>
      <c r="E11" s="142">
        <f t="shared" si="2"/>
        <v>5500000.5</v>
      </c>
      <c r="F11" s="142">
        <f>E11-H11</f>
        <v>4990000.5</v>
      </c>
      <c r="G11" s="142">
        <v>0</v>
      </c>
      <c r="H11" s="142">
        <v>510000</v>
      </c>
      <c r="I11" s="142"/>
      <c r="J11" s="142"/>
      <c r="K11" s="142"/>
      <c r="L11" s="355" t="s">
        <v>456</v>
      </c>
      <c r="M11" s="373" t="s">
        <v>471</v>
      </c>
    </row>
    <row r="12" spans="1:14" ht="64.5">
      <c r="A12" s="250">
        <v>7</v>
      </c>
      <c r="B12" s="119" t="s">
        <v>376</v>
      </c>
      <c r="C12" s="142">
        <f>82033.9285714286*1.12</f>
        <v>91878.000000000029</v>
      </c>
      <c r="D12" s="142">
        <v>38122</v>
      </c>
      <c r="E12" s="142">
        <f t="shared" si="2"/>
        <v>130000.00000000003</v>
      </c>
      <c r="F12" s="142">
        <f>E12-H12</f>
        <v>40400.000000000029</v>
      </c>
      <c r="G12" s="142">
        <v>0</v>
      </c>
      <c r="H12" s="142">
        <v>89600</v>
      </c>
      <c r="I12" s="142"/>
      <c r="J12" s="142"/>
      <c r="K12" s="142"/>
      <c r="L12" s="355" t="s">
        <v>456</v>
      </c>
      <c r="M12" s="373" t="s">
        <v>472</v>
      </c>
    </row>
    <row r="13" spans="1:14" ht="64.5">
      <c r="A13" s="250">
        <v>8</v>
      </c>
      <c r="B13" s="119" t="s">
        <v>31</v>
      </c>
      <c r="C13" s="142">
        <f>1079683.92857143*1.12+279552</f>
        <v>1488798.0000000019</v>
      </c>
      <c r="D13" s="142">
        <f>9158020.5</f>
        <v>9158020.5</v>
      </c>
      <c r="E13" s="142">
        <f t="shared" si="2"/>
        <v>10646818.500000002</v>
      </c>
      <c r="F13" s="142">
        <f>E13-H13</f>
        <v>10367266.500000002</v>
      </c>
      <c r="G13" s="142"/>
      <c r="H13" s="142">
        <v>279552</v>
      </c>
      <c r="I13" s="142"/>
      <c r="J13" s="277"/>
      <c r="K13" s="142"/>
      <c r="L13" s="355" t="s">
        <v>456</v>
      </c>
      <c r="M13" s="373" t="s">
        <v>468</v>
      </c>
    </row>
    <row r="14" spans="1:14" ht="126">
      <c r="A14" s="250" t="s">
        <v>368</v>
      </c>
      <c r="B14" s="119" t="s">
        <v>32</v>
      </c>
      <c r="C14" s="142">
        <v>20873920</v>
      </c>
      <c r="D14" s="142">
        <f>-(1080000+1911600.3+608784)</f>
        <v>-3600384.3</v>
      </c>
      <c r="E14" s="142">
        <f t="shared" si="2"/>
        <v>17273535.699999999</v>
      </c>
      <c r="F14" s="142">
        <f>E14-4182976+0.3</f>
        <v>13090560</v>
      </c>
      <c r="G14" s="142">
        <f>11688000*1.12</f>
        <v>13090560.000000002</v>
      </c>
      <c r="H14" s="142">
        <f>8066016</f>
        <v>8066016</v>
      </c>
      <c r="I14" s="142">
        <f>G14-H14</f>
        <v>5024544.0000000019</v>
      </c>
      <c r="J14" s="142"/>
      <c r="K14" s="142">
        <f>E14-H14</f>
        <v>9207519.6999999993</v>
      </c>
      <c r="L14" s="355" t="s">
        <v>456</v>
      </c>
      <c r="M14" s="373" t="s">
        <v>469</v>
      </c>
    </row>
    <row r="15" spans="1:14" ht="34.15" customHeight="1">
      <c r="A15" s="250" t="s">
        <v>372</v>
      </c>
      <c r="B15" s="119" t="s">
        <v>39</v>
      </c>
      <c r="C15" s="142">
        <f>843750*1.12</f>
        <v>945000.00000000012</v>
      </c>
      <c r="D15" s="142">
        <v>-651000</v>
      </c>
      <c r="E15" s="142">
        <f t="shared" si="2"/>
        <v>294000.00000000012</v>
      </c>
      <c r="F15" s="142">
        <f>E15</f>
        <v>294000.00000000012</v>
      </c>
      <c r="G15" s="142">
        <f>262500*1.12</f>
        <v>294000</v>
      </c>
      <c r="H15" s="142">
        <v>223440</v>
      </c>
      <c r="I15" s="142"/>
      <c r="J15" s="142">
        <f>G15</f>
        <v>294000</v>
      </c>
      <c r="K15" s="142">
        <f>F15-G15</f>
        <v>0</v>
      </c>
      <c r="L15" s="355" t="s">
        <v>456</v>
      </c>
      <c r="M15" s="354"/>
    </row>
    <row r="16" spans="1:14" ht="31.5">
      <c r="A16" s="250" t="s">
        <v>373</v>
      </c>
      <c r="B16" s="119" t="s">
        <v>34</v>
      </c>
      <c r="C16" s="142">
        <f>3928571.42857143*1.12</f>
        <v>4400000.0000000019</v>
      </c>
      <c r="D16" s="142">
        <v>-1320000</v>
      </c>
      <c r="E16" s="142">
        <f t="shared" si="2"/>
        <v>3080000.0000000019</v>
      </c>
      <c r="F16" s="142">
        <f>E16</f>
        <v>3080000.0000000019</v>
      </c>
      <c r="G16" s="142">
        <f>2750000*1.12</f>
        <v>3080000.0000000005</v>
      </c>
      <c r="H16" s="142">
        <v>0</v>
      </c>
      <c r="I16" s="142"/>
      <c r="J16" s="142">
        <f>G16</f>
        <v>3080000.0000000005</v>
      </c>
      <c r="K16" s="142">
        <f>F16-J16</f>
        <v>0</v>
      </c>
      <c r="L16" s="355" t="s">
        <v>456</v>
      </c>
      <c r="M16" s="354"/>
      <c r="N16" s="133"/>
    </row>
    <row r="17" spans="1:13" ht="47.25">
      <c r="A17" s="250" t="s">
        <v>374</v>
      </c>
      <c r="B17" s="119" t="s">
        <v>37</v>
      </c>
      <c r="C17" s="142">
        <f>226785.714285714*1.12</f>
        <v>253999.99999999971</v>
      </c>
      <c r="D17" s="142">
        <v>-254000</v>
      </c>
      <c r="E17" s="142">
        <f t="shared" si="2"/>
        <v>-2.9103830456733704E-10</v>
      </c>
      <c r="F17" s="142">
        <f>C17+D17</f>
        <v>-2.9103830456733704E-10</v>
      </c>
      <c r="G17" s="142">
        <v>0</v>
      </c>
      <c r="H17" s="142">
        <v>231000</v>
      </c>
      <c r="I17" s="142"/>
      <c r="J17" s="142">
        <f>H17</f>
        <v>231000</v>
      </c>
      <c r="K17" s="142">
        <f>C17-J17</f>
        <v>22999.999999999709</v>
      </c>
      <c r="L17" s="355" t="s">
        <v>456</v>
      </c>
      <c r="M17" s="354"/>
    </row>
    <row r="18" spans="1:13" ht="47.25">
      <c r="A18" s="250">
        <v>13</v>
      </c>
      <c r="B18" s="119" t="s">
        <v>183</v>
      </c>
      <c r="C18" s="142">
        <f>1130535.71428571*1.12</f>
        <v>1266199.9999999951</v>
      </c>
      <c r="D18" s="142">
        <v>-814840</v>
      </c>
      <c r="E18" s="142">
        <f t="shared" si="2"/>
        <v>451359.99999999511</v>
      </c>
      <c r="F18" s="142">
        <f>E18</f>
        <v>451359.99999999511</v>
      </c>
      <c r="G18" s="142">
        <f>403000*1.12</f>
        <v>451360.00000000006</v>
      </c>
      <c r="H18" s="142">
        <v>0</v>
      </c>
      <c r="I18" s="142"/>
      <c r="J18" s="142">
        <f>G18</f>
        <v>451360.00000000006</v>
      </c>
      <c r="K18" s="142">
        <f>C18-J18</f>
        <v>814839.99999999511</v>
      </c>
      <c r="L18" s="355" t="s">
        <v>456</v>
      </c>
      <c r="M18" s="354"/>
    </row>
    <row r="19" spans="1:13" ht="47.25">
      <c r="A19" s="250">
        <v>14</v>
      </c>
      <c r="B19" s="119" t="s">
        <v>38</v>
      </c>
      <c r="C19" s="142">
        <f>270089.285714286*1.12</f>
        <v>302500.00000000029</v>
      </c>
      <c r="D19" s="142">
        <v>-22836</v>
      </c>
      <c r="E19" s="142">
        <f t="shared" si="2"/>
        <v>279664.00000000029</v>
      </c>
      <c r="F19" s="142">
        <f>E19</f>
        <v>279664.00000000029</v>
      </c>
      <c r="G19" s="142">
        <f>249700*1.12</f>
        <v>279664</v>
      </c>
      <c r="H19" s="142">
        <f>35593.6+49350+21150</f>
        <v>106093.6</v>
      </c>
      <c r="I19" s="142"/>
      <c r="J19" s="142">
        <f>G19</f>
        <v>279664</v>
      </c>
      <c r="K19" s="142">
        <f>C19-J19</f>
        <v>22836.000000000291</v>
      </c>
      <c r="L19" s="355" t="s">
        <v>456</v>
      </c>
      <c r="M19" s="354"/>
    </row>
    <row r="20" spans="1:13" ht="31.5">
      <c r="A20" s="250">
        <v>15</v>
      </c>
      <c r="B20" s="119" t="s">
        <v>40</v>
      </c>
      <c r="C20" s="142">
        <v>374976</v>
      </c>
      <c r="D20" s="142">
        <v>-245728</v>
      </c>
      <c r="E20" s="142">
        <f t="shared" si="2"/>
        <v>129248</v>
      </c>
      <c r="F20" s="142">
        <f>E20</f>
        <v>129248</v>
      </c>
      <c r="G20" s="142">
        <f>115400*1.12</f>
        <v>129248.00000000001</v>
      </c>
      <c r="H20" s="142">
        <v>0</v>
      </c>
      <c r="I20" s="142"/>
      <c r="J20" s="142">
        <f>G20</f>
        <v>129248.00000000001</v>
      </c>
      <c r="K20" s="142">
        <f>C20-J20</f>
        <v>245728</v>
      </c>
      <c r="L20" s="355" t="s">
        <v>456</v>
      </c>
      <c r="M20" s="354"/>
    </row>
    <row r="21" spans="1:13" ht="31.5">
      <c r="A21" s="250">
        <v>16</v>
      </c>
      <c r="B21" s="119" t="s">
        <v>41</v>
      </c>
      <c r="C21" s="142">
        <f>1719642.85714286*1.12</f>
        <v>1926000.0000000035</v>
      </c>
      <c r="D21" s="142">
        <f>-(737673.5-32016)</f>
        <v>-705657.5</v>
      </c>
      <c r="E21" s="142">
        <f t="shared" si="2"/>
        <v>1220342.5000000035</v>
      </c>
      <c r="F21" s="142">
        <f>1719642.85714286*1.12+D21</f>
        <v>1220342.5000000035</v>
      </c>
      <c r="G21" s="142">
        <f>1089591.52*1.12</f>
        <v>1220342.5024000001</v>
      </c>
      <c r="H21" s="142">
        <v>0</v>
      </c>
      <c r="I21" s="142"/>
      <c r="J21" s="142">
        <f>G21</f>
        <v>1220342.5024000001</v>
      </c>
      <c r="K21" s="142">
        <f>C21-J21</f>
        <v>705657.49760000338</v>
      </c>
      <c r="L21" s="355" t="s">
        <v>456</v>
      </c>
      <c r="M21" s="354"/>
    </row>
    <row r="22" spans="1:13" ht="78.75">
      <c r="A22" s="250">
        <v>17</v>
      </c>
      <c r="B22" s="119" t="s">
        <v>228</v>
      </c>
      <c r="C22" s="142"/>
      <c r="D22" s="142">
        <v>1080000</v>
      </c>
      <c r="E22" s="142">
        <f t="shared" si="2"/>
        <v>1080000</v>
      </c>
      <c r="F22" s="142">
        <f>964285.714285714*1.12</f>
        <v>1079999.9999999998</v>
      </c>
      <c r="G22" s="142">
        <f>F22</f>
        <v>1079999.9999999998</v>
      </c>
      <c r="H22" s="142">
        <v>0</v>
      </c>
      <c r="I22" s="142"/>
      <c r="J22" s="142"/>
      <c r="K22" s="142"/>
      <c r="L22" s="355" t="s">
        <v>456</v>
      </c>
      <c r="M22" s="354"/>
    </row>
    <row r="23" spans="1:13" ht="78.75">
      <c r="A23" s="250">
        <v>18</v>
      </c>
      <c r="B23" s="119" t="s">
        <v>258</v>
      </c>
      <c r="C23" s="142"/>
      <c r="D23" s="142">
        <v>1911600.32</v>
      </c>
      <c r="E23" s="142">
        <f t="shared" si="2"/>
        <v>1911600.32</v>
      </c>
      <c r="F23" s="142">
        <f>1706786*1.12</f>
        <v>1911600.3200000003</v>
      </c>
      <c r="G23" s="142">
        <f>1706786*1.12</f>
        <v>1911600.3200000003</v>
      </c>
      <c r="H23" s="142">
        <v>0</v>
      </c>
      <c r="I23" s="142"/>
      <c r="J23" s="142">
        <v>0</v>
      </c>
      <c r="K23" s="142">
        <f>G23-J23</f>
        <v>1911600.3200000003</v>
      </c>
      <c r="L23" s="355" t="s">
        <v>456</v>
      </c>
      <c r="M23" s="354"/>
    </row>
    <row r="24" spans="1:13" ht="63">
      <c r="A24" s="250">
        <v>19</v>
      </c>
      <c r="B24" s="119" t="s">
        <v>43</v>
      </c>
      <c r="C24" s="142">
        <f>458571.428571429*1.12</f>
        <v>513600.00000000052</v>
      </c>
      <c r="D24" s="142">
        <v>-65601.119999999995</v>
      </c>
      <c r="E24" s="142">
        <f t="shared" si="2"/>
        <v>447998.88000000053</v>
      </c>
      <c r="F24" s="142">
        <f>E24</f>
        <v>447998.88000000053</v>
      </c>
      <c r="G24" s="142">
        <f>399999*1.12</f>
        <v>447998.88000000006</v>
      </c>
      <c r="H24" s="142">
        <v>261978</v>
      </c>
      <c r="I24" s="142"/>
      <c r="J24" s="142">
        <f>G24</f>
        <v>447998.88000000006</v>
      </c>
      <c r="K24" s="142">
        <f>C24-J24</f>
        <v>65601.120000000461</v>
      </c>
      <c r="L24" s="355" t="s">
        <v>456</v>
      </c>
      <c r="M24" s="354"/>
    </row>
    <row r="25" spans="1:13" ht="78.75">
      <c r="A25" s="250">
        <v>20</v>
      </c>
      <c r="B25" s="119" t="s">
        <v>46</v>
      </c>
      <c r="C25" s="142">
        <f>460357.142857143*1.12</f>
        <v>515600.00000000023</v>
      </c>
      <c r="D25" s="142">
        <v>1984400</v>
      </c>
      <c r="E25" s="142">
        <f t="shared" si="2"/>
        <v>2500000</v>
      </c>
      <c r="F25" s="142">
        <f>E25</f>
        <v>2500000</v>
      </c>
      <c r="G25" s="142">
        <v>0</v>
      </c>
      <c r="H25" s="142">
        <v>0</v>
      </c>
      <c r="I25" s="142"/>
      <c r="J25" s="359"/>
      <c r="K25" s="359"/>
      <c r="L25" s="355" t="s">
        <v>456</v>
      </c>
      <c r="M25" s="354"/>
    </row>
    <row r="26" spans="1:13" ht="47.25">
      <c r="A26" s="250"/>
      <c r="B26" s="138" t="s">
        <v>343</v>
      </c>
      <c r="C26" s="142"/>
      <c r="D26" s="142">
        <f>198200*1.12-65984</f>
        <v>156000.00000000003</v>
      </c>
      <c r="E26" s="142">
        <f t="shared" si="2"/>
        <v>156000.00000000003</v>
      </c>
      <c r="F26" s="142">
        <f>D26</f>
        <v>156000.00000000003</v>
      </c>
      <c r="G26" s="142">
        <v>156000</v>
      </c>
      <c r="H26" s="142">
        <f>G26</f>
        <v>156000</v>
      </c>
      <c r="I26" s="134"/>
      <c r="J26" s="134">
        <f>H26</f>
        <v>156000</v>
      </c>
      <c r="K26" s="134">
        <f>F26-J26</f>
        <v>0</v>
      </c>
      <c r="L26" s="355" t="s">
        <v>456</v>
      </c>
      <c r="M26" s="354"/>
    </row>
    <row r="27" spans="1:13" ht="15.75">
      <c r="A27" s="250"/>
      <c r="B27" s="138" t="s">
        <v>462</v>
      </c>
      <c r="C27" s="359"/>
      <c r="D27" s="142">
        <v>4000000</v>
      </c>
      <c r="E27" s="142">
        <f t="shared" si="2"/>
        <v>4000000</v>
      </c>
      <c r="F27" s="142">
        <f>E27</f>
        <v>4000000</v>
      </c>
      <c r="G27" s="142"/>
      <c r="H27" s="142"/>
      <c r="I27" s="134"/>
      <c r="J27" s="134"/>
      <c r="K27" s="134"/>
      <c r="L27" s="355"/>
      <c r="M27" s="354"/>
    </row>
    <row r="28" spans="1:13" ht="31.5">
      <c r="A28" s="250"/>
      <c r="B28" s="138" t="s">
        <v>463</v>
      </c>
      <c r="C28" s="359"/>
      <c r="D28" s="142">
        <v>1120000</v>
      </c>
      <c r="E28" s="142">
        <f t="shared" si="2"/>
        <v>1120000</v>
      </c>
      <c r="F28" s="142">
        <f>E28</f>
        <v>1120000</v>
      </c>
      <c r="G28" s="142"/>
      <c r="H28" s="142"/>
      <c r="I28" s="134"/>
      <c r="J28" s="134"/>
      <c r="K28" s="134"/>
      <c r="L28" s="355"/>
      <c r="M28" s="354"/>
    </row>
    <row r="29" spans="1:13" ht="15.75">
      <c r="A29" s="250"/>
      <c r="B29" s="138" t="s">
        <v>464</v>
      </c>
      <c r="C29" s="359"/>
      <c r="D29" s="142">
        <v>604800</v>
      </c>
      <c r="E29" s="142">
        <f t="shared" si="2"/>
        <v>604800</v>
      </c>
      <c r="F29" s="142">
        <f>E29</f>
        <v>604800</v>
      </c>
      <c r="G29" s="142"/>
      <c r="H29" s="142"/>
      <c r="I29" s="134"/>
      <c r="J29" s="134"/>
      <c r="K29" s="134"/>
      <c r="L29" s="355"/>
      <c r="M29" s="354"/>
    </row>
    <row r="30" spans="1:13" ht="15.75">
      <c r="A30" s="360"/>
      <c r="B30" s="356" t="s">
        <v>371</v>
      </c>
      <c r="C30" s="357">
        <f>SUM(C10:C29)+24</f>
        <v>57242313.699999981</v>
      </c>
      <c r="D30" s="357">
        <f>SUM(D10:D29)</f>
        <v>-1029721.2999999989</v>
      </c>
      <c r="E30" s="357">
        <f>SUM(E10:E29)</f>
        <v>56212568.399999984</v>
      </c>
      <c r="F30" s="357">
        <f>SUM(F10:F29)</f>
        <v>51150440.699999981</v>
      </c>
      <c r="G30" s="357">
        <f>SUM(G10:G29)</f>
        <v>22140773.702400003</v>
      </c>
      <c r="H30" s="357">
        <f>SUM(H10:H29)</f>
        <v>15310879.6</v>
      </c>
      <c r="I30" s="357"/>
      <c r="J30" s="357">
        <f>SUM(J10:J26)</f>
        <v>11676813.3824</v>
      </c>
      <c r="K30" s="357">
        <f>SUM(K10:K26)</f>
        <v>7609582.6375999972</v>
      </c>
      <c r="L30" s="357"/>
      <c r="M30" s="361"/>
    </row>
    <row r="31" spans="1:13" ht="47.25">
      <c r="A31" s="250">
        <v>21</v>
      </c>
      <c r="B31" s="136" t="s">
        <v>47</v>
      </c>
      <c r="C31" s="134">
        <v>897700</v>
      </c>
      <c r="D31" s="134">
        <v>62300</v>
      </c>
      <c r="E31" s="134"/>
      <c r="F31" s="134">
        <v>960000</v>
      </c>
      <c r="G31" s="134">
        <v>960000</v>
      </c>
      <c r="H31" s="134">
        <f>G31/12*8</f>
        <v>640000</v>
      </c>
      <c r="I31" s="134">
        <f>80000*4</f>
        <v>320000</v>
      </c>
      <c r="J31" s="134">
        <f>H31+I31</f>
        <v>960000</v>
      </c>
      <c r="K31" s="134">
        <f>F31-J31</f>
        <v>0</v>
      </c>
      <c r="L31" s="134"/>
      <c r="M31" s="256"/>
    </row>
    <row r="32" spans="1:13" ht="47.25">
      <c r="A32" s="250">
        <v>22</v>
      </c>
      <c r="B32" s="136" t="s">
        <v>48</v>
      </c>
      <c r="C32" s="134">
        <v>233280</v>
      </c>
      <c r="D32" s="134">
        <v>-62300</v>
      </c>
      <c r="E32" s="134"/>
      <c r="F32" s="134">
        <v>171000</v>
      </c>
      <c r="G32" s="134">
        <v>171000</v>
      </c>
      <c r="H32" s="134">
        <f>G32/12*8</f>
        <v>114000</v>
      </c>
      <c r="I32" s="134">
        <f>14250*4</f>
        <v>57000</v>
      </c>
      <c r="J32" s="134">
        <f>H32+I32</f>
        <v>171000</v>
      </c>
      <c r="K32" s="134">
        <f>F32-J32</f>
        <v>0</v>
      </c>
      <c r="L32" s="134"/>
      <c r="M32" s="256"/>
    </row>
    <row r="33" spans="1:13" ht="31.5">
      <c r="A33" s="250">
        <v>23</v>
      </c>
      <c r="B33" s="136" t="s">
        <v>51</v>
      </c>
      <c r="C33" s="134">
        <f>6250000*1.12</f>
        <v>7000000.0000000009</v>
      </c>
      <c r="D33" s="134"/>
      <c r="E33" s="134"/>
      <c r="F33" s="134">
        <f>6250000*1.12</f>
        <v>7000000.0000000009</v>
      </c>
      <c r="G33" s="134">
        <v>0</v>
      </c>
      <c r="H33" s="134">
        <v>0</v>
      </c>
      <c r="I33" s="134"/>
      <c r="J33" s="134"/>
      <c r="K33" s="134"/>
      <c r="L33" s="134"/>
      <c r="M33" s="368" t="s">
        <v>473</v>
      </c>
    </row>
    <row r="34" spans="1:13" ht="110.25">
      <c r="A34" s="250">
        <v>24</v>
      </c>
      <c r="B34" s="136" t="s">
        <v>52</v>
      </c>
      <c r="C34" s="134">
        <f>388392.857142857*1.12</f>
        <v>434999.99999999988</v>
      </c>
      <c r="D34" s="134"/>
      <c r="E34" s="134"/>
      <c r="F34" s="134">
        <f>388392.857142857*1.12</f>
        <v>434999.99999999988</v>
      </c>
      <c r="G34" s="134">
        <v>270358</v>
      </c>
      <c r="H34" s="134">
        <f>39570.58+52646.08+313672.57</f>
        <v>405889.23</v>
      </c>
      <c r="I34" s="134">
        <f>52646.08*4</f>
        <v>210584.32000000001</v>
      </c>
      <c r="J34" s="134">
        <f>H34+I34</f>
        <v>616473.55000000005</v>
      </c>
      <c r="K34" s="134">
        <f>F34-J34</f>
        <v>-181473.55000000016</v>
      </c>
      <c r="L34" s="355" t="s">
        <v>453</v>
      </c>
      <c r="M34" s="354" t="s">
        <v>474</v>
      </c>
    </row>
    <row r="35" spans="1:13" ht="31.5">
      <c r="A35" s="250">
        <v>24</v>
      </c>
      <c r="B35" s="271" t="s">
        <v>53</v>
      </c>
      <c r="C35" s="134">
        <v>286309</v>
      </c>
      <c r="D35" s="134"/>
      <c r="E35" s="134"/>
      <c r="F35" s="134">
        <v>286309</v>
      </c>
      <c r="G35" s="134">
        <v>0</v>
      </c>
      <c r="H35" s="134">
        <v>0</v>
      </c>
      <c r="I35" s="134"/>
      <c r="J35" s="134"/>
      <c r="K35" s="134"/>
      <c r="L35" s="355" t="s">
        <v>457</v>
      </c>
      <c r="M35" s="354"/>
    </row>
    <row r="36" spans="1:13" ht="47.25">
      <c r="A36" s="250">
        <v>72</v>
      </c>
      <c r="B36" s="138" t="s">
        <v>335</v>
      </c>
      <c r="C36" s="134">
        <v>600000</v>
      </c>
      <c r="D36" s="134">
        <v>600000</v>
      </c>
      <c r="E36" s="134"/>
      <c r="F36" s="134">
        <f>C36+D36</f>
        <v>1200000</v>
      </c>
      <c r="G36" s="134">
        <v>0</v>
      </c>
      <c r="H36" s="134">
        <v>0</v>
      </c>
      <c r="I36" s="134"/>
      <c r="J36" s="134"/>
      <c r="K36" s="134"/>
      <c r="L36" s="355" t="s">
        <v>458</v>
      </c>
      <c r="M36" s="354"/>
    </row>
    <row r="37" spans="1:13" ht="31.5">
      <c r="A37" s="250"/>
      <c r="B37" s="138" t="s">
        <v>378</v>
      </c>
      <c r="C37" s="134">
        <v>4200000</v>
      </c>
      <c r="D37" s="134"/>
      <c r="E37" s="134"/>
      <c r="F37" s="134"/>
      <c r="G37" s="134">
        <f>C37</f>
        <v>4200000</v>
      </c>
      <c r="H37" s="134">
        <v>2800000</v>
      </c>
      <c r="I37" s="134"/>
      <c r="J37" s="134">
        <f>H37+350000*4</f>
        <v>4200000</v>
      </c>
      <c r="K37" s="134">
        <f>G37-J37</f>
        <v>0</v>
      </c>
      <c r="L37" s="355" t="s">
        <v>459</v>
      </c>
      <c r="M37" s="354"/>
    </row>
    <row r="38" spans="1:13" ht="31.5">
      <c r="A38" s="360"/>
      <c r="B38" s="356" t="s">
        <v>377</v>
      </c>
      <c r="C38" s="357">
        <f>SUM(C31:C37)</f>
        <v>13652289</v>
      </c>
      <c r="D38" s="358">
        <f>SUM(D31:D37)</f>
        <v>600000</v>
      </c>
      <c r="E38" s="358"/>
      <c r="F38" s="357">
        <f>SUM(F31:F37)</f>
        <v>10052309</v>
      </c>
      <c r="G38" s="357">
        <f>SUM(G31:G37)</f>
        <v>5601358</v>
      </c>
      <c r="H38" s="357">
        <f>SUM(H31:H37)</f>
        <v>3959889.23</v>
      </c>
      <c r="I38" s="357"/>
      <c r="J38" s="357">
        <f>SUM(J31:J37)</f>
        <v>5947473.5499999998</v>
      </c>
      <c r="K38" s="357">
        <f>SUM(K31:K37)</f>
        <v>-181473.55000000016</v>
      </c>
      <c r="L38" s="357"/>
      <c r="M38" s="361"/>
    </row>
    <row r="39" spans="1:13" ht="15.75">
      <c r="A39" s="103">
        <v>26</v>
      </c>
      <c r="B39" s="137" t="s">
        <v>142</v>
      </c>
      <c r="C39" s="134">
        <v>117119.52</v>
      </c>
      <c r="D39" s="134"/>
      <c r="E39" s="134"/>
      <c r="F39" s="134">
        <v>117119.52</v>
      </c>
      <c r="G39" s="135">
        <v>112425</v>
      </c>
      <c r="H39" s="135">
        <v>0</v>
      </c>
      <c r="I39" s="135">
        <f>G39</f>
        <v>112425</v>
      </c>
      <c r="J39" s="134">
        <f>I39</f>
        <v>112425</v>
      </c>
      <c r="K39" s="134">
        <f>F39-G39</f>
        <v>4694.5200000000041</v>
      </c>
      <c r="L39" s="441" t="s">
        <v>453</v>
      </c>
      <c r="M39" s="442"/>
    </row>
    <row r="40" spans="1:13" ht="15.75">
      <c r="A40" s="103">
        <v>27</v>
      </c>
      <c r="B40" s="137" t="s">
        <v>143</v>
      </c>
      <c r="C40" s="134">
        <v>69418.080000000002</v>
      </c>
      <c r="D40" s="134">
        <f t="shared" ref="D40:D46" si="3">F40-C40</f>
        <v>-5204.0800000000017</v>
      </c>
      <c r="E40" s="134"/>
      <c r="F40" s="134">
        <v>64214</v>
      </c>
      <c r="G40" s="134">
        <v>64214</v>
      </c>
      <c r="H40" s="135">
        <v>36720</v>
      </c>
      <c r="I40" s="135">
        <f>H40</f>
        <v>36720</v>
      </c>
      <c r="J40" s="134">
        <f>I40</f>
        <v>36720</v>
      </c>
      <c r="K40" s="134"/>
      <c r="L40" s="413"/>
      <c r="M40" s="443"/>
    </row>
    <row r="41" spans="1:13" ht="31.5">
      <c r="A41" s="103">
        <v>28</v>
      </c>
      <c r="B41" s="137" t="s">
        <v>195</v>
      </c>
      <c r="C41" s="134">
        <v>159840</v>
      </c>
      <c r="D41" s="134">
        <f t="shared" si="3"/>
        <v>-10972</v>
      </c>
      <c r="E41" s="134"/>
      <c r="F41" s="134">
        <v>148868</v>
      </c>
      <c r="G41" s="134">
        <v>148868</v>
      </c>
      <c r="H41" s="142">
        <f>37217+95482.75</f>
        <v>132699.75</v>
      </c>
      <c r="I41" s="142"/>
      <c r="J41" s="142"/>
      <c r="K41" s="142"/>
      <c r="L41" s="413"/>
      <c r="M41" s="443"/>
    </row>
    <row r="42" spans="1:13" ht="31.5">
      <c r="A42" s="103">
        <v>29</v>
      </c>
      <c r="B42" s="137" t="s">
        <v>178</v>
      </c>
      <c r="C42" s="134">
        <v>54743.040000000001</v>
      </c>
      <c r="D42" s="134">
        <f t="shared" si="3"/>
        <v>-5947.0400000000009</v>
      </c>
      <c r="E42" s="134"/>
      <c r="F42" s="134">
        <v>48796</v>
      </c>
      <c r="G42" s="134">
        <v>48796</v>
      </c>
      <c r="H42" s="142">
        <v>22877</v>
      </c>
      <c r="I42" s="142"/>
      <c r="J42" s="142"/>
      <c r="K42" s="142"/>
      <c r="L42" s="413"/>
      <c r="M42" s="443"/>
    </row>
    <row r="43" spans="1:13" ht="31.5">
      <c r="A43" s="103">
        <v>30</v>
      </c>
      <c r="B43" s="137" t="s">
        <v>179</v>
      </c>
      <c r="C43" s="134">
        <v>75129.119999999995</v>
      </c>
      <c r="D43" s="134">
        <f t="shared" si="3"/>
        <v>-9435.1199999999953</v>
      </c>
      <c r="E43" s="134"/>
      <c r="F43" s="134">
        <v>65694</v>
      </c>
      <c r="G43" s="134">
        <v>65694</v>
      </c>
      <c r="H43" s="142">
        <v>32847</v>
      </c>
      <c r="I43" s="142"/>
      <c r="J43" s="142"/>
      <c r="K43" s="142"/>
      <c r="L43" s="413"/>
      <c r="M43" s="443"/>
    </row>
    <row r="44" spans="1:13" ht="47.25">
      <c r="A44" s="103">
        <v>31</v>
      </c>
      <c r="B44" s="137" t="s">
        <v>174</v>
      </c>
      <c r="C44" s="134">
        <v>110484</v>
      </c>
      <c r="D44" s="134">
        <f t="shared" si="3"/>
        <v>-11440</v>
      </c>
      <c r="E44" s="134"/>
      <c r="F44" s="134">
        <v>99044</v>
      </c>
      <c r="G44" s="134">
        <v>99044</v>
      </c>
      <c r="H44" s="142">
        <v>49522</v>
      </c>
      <c r="I44" s="142"/>
      <c r="J44" s="142"/>
      <c r="K44" s="142"/>
      <c r="L44" s="413"/>
      <c r="M44" s="443"/>
    </row>
    <row r="45" spans="1:13" ht="47.25">
      <c r="A45" s="103">
        <v>32</v>
      </c>
      <c r="B45" s="137" t="s">
        <v>175</v>
      </c>
      <c r="C45" s="134">
        <v>110484</v>
      </c>
      <c r="D45" s="134">
        <f t="shared" si="3"/>
        <v>-11440</v>
      </c>
      <c r="E45" s="134"/>
      <c r="F45" s="134">
        <v>99044</v>
      </c>
      <c r="G45" s="134">
        <v>99044</v>
      </c>
      <c r="H45" s="142">
        <v>49522</v>
      </c>
      <c r="I45" s="142"/>
      <c r="J45" s="142"/>
      <c r="K45" s="142"/>
      <c r="L45" s="413"/>
      <c r="M45" s="443"/>
    </row>
    <row r="46" spans="1:13" ht="47.25">
      <c r="A46" s="103">
        <v>33</v>
      </c>
      <c r="B46" s="137" t="s">
        <v>176</v>
      </c>
      <c r="C46" s="134">
        <v>110484</v>
      </c>
      <c r="D46" s="134">
        <f t="shared" si="3"/>
        <v>-11440</v>
      </c>
      <c r="E46" s="134"/>
      <c r="F46" s="134">
        <v>99044</v>
      </c>
      <c r="G46" s="134">
        <v>99044</v>
      </c>
      <c r="H46" s="142">
        <v>49522</v>
      </c>
      <c r="I46" s="142"/>
      <c r="J46" s="142"/>
      <c r="K46" s="142"/>
      <c r="L46" s="413"/>
      <c r="M46" s="443"/>
    </row>
    <row r="47" spans="1:13" ht="31.5">
      <c r="A47" s="103">
        <v>34</v>
      </c>
      <c r="B47" s="137" t="s">
        <v>181</v>
      </c>
      <c r="C47" s="134">
        <v>31739.040000000001</v>
      </c>
      <c r="D47" s="134"/>
      <c r="E47" s="134"/>
      <c r="F47" s="134">
        <v>31739.040000000001</v>
      </c>
      <c r="G47" s="134">
        <v>28708</v>
      </c>
      <c r="H47" s="142">
        <v>0</v>
      </c>
      <c r="I47" s="142"/>
      <c r="J47" s="142"/>
      <c r="K47" s="142"/>
      <c r="L47" s="413"/>
      <c r="M47" s="443"/>
    </row>
    <row r="48" spans="1:13" ht="31.5">
      <c r="A48" s="103">
        <v>35</v>
      </c>
      <c r="B48" s="137" t="s">
        <v>182</v>
      </c>
      <c r="C48" s="134">
        <v>47005.919999999998</v>
      </c>
      <c r="D48" s="134">
        <v>-4735.92</v>
      </c>
      <c r="E48" s="134"/>
      <c r="F48" s="134">
        <f>C48+D48</f>
        <v>42270</v>
      </c>
      <c r="G48" s="134">
        <v>42270</v>
      </c>
      <c r="H48" s="142">
        <v>14240</v>
      </c>
      <c r="I48" s="142"/>
      <c r="J48" s="142"/>
      <c r="K48" s="142"/>
      <c r="L48" s="413"/>
      <c r="M48" s="443"/>
    </row>
    <row r="49" spans="1:13" ht="31.5">
      <c r="A49" s="103">
        <v>36</v>
      </c>
      <c r="B49" s="137" t="s">
        <v>180</v>
      </c>
      <c r="C49" s="134">
        <v>54237.599999999999</v>
      </c>
      <c r="D49" s="134">
        <f>F49-C49</f>
        <v>-5655.5999999999985</v>
      </c>
      <c r="E49" s="134"/>
      <c r="F49" s="134">
        <v>48582</v>
      </c>
      <c r="G49" s="134">
        <v>48582</v>
      </c>
      <c r="H49" s="142">
        <f>16194</f>
        <v>16194</v>
      </c>
      <c r="I49" s="142"/>
      <c r="J49" s="142"/>
      <c r="K49" s="142"/>
      <c r="L49" s="413"/>
      <c r="M49" s="443"/>
    </row>
    <row r="50" spans="1:13" ht="31.5">
      <c r="A50" s="103">
        <v>37</v>
      </c>
      <c r="B50" s="137" t="s">
        <v>177</v>
      </c>
      <c r="C50" s="134">
        <v>150266.88</v>
      </c>
      <c r="D50" s="134"/>
      <c r="E50" s="134"/>
      <c r="F50" s="134">
        <v>150266.88</v>
      </c>
      <c r="G50" s="134">
        <v>141892</v>
      </c>
      <c r="H50" s="142">
        <f>35473+70814</f>
        <v>106287</v>
      </c>
      <c r="I50" s="142"/>
      <c r="J50" s="142"/>
      <c r="K50" s="142"/>
      <c r="L50" s="413"/>
      <c r="M50" s="443"/>
    </row>
    <row r="51" spans="1:13" ht="31.5">
      <c r="A51" s="103">
        <v>38</v>
      </c>
      <c r="B51" s="137" t="s">
        <v>144</v>
      </c>
      <c r="C51" s="134">
        <v>22870.080000000002</v>
      </c>
      <c r="D51" s="134">
        <f>F51-C51</f>
        <v>-10066.080000000002</v>
      </c>
      <c r="E51" s="134"/>
      <c r="F51" s="134">
        <v>12804</v>
      </c>
      <c r="G51" s="134">
        <v>12804</v>
      </c>
      <c r="H51" s="142">
        <v>0</v>
      </c>
      <c r="I51" s="142"/>
      <c r="J51" s="142"/>
      <c r="K51" s="142"/>
      <c r="L51" s="413"/>
      <c r="M51" s="443"/>
    </row>
    <row r="52" spans="1:13" ht="31.5">
      <c r="A52" s="103">
        <v>39</v>
      </c>
      <c r="B52" s="137" t="s">
        <v>145</v>
      </c>
      <c r="C52" s="134">
        <v>90720</v>
      </c>
      <c r="D52" s="134"/>
      <c r="E52" s="134"/>
      <c r="F52" s="134">
        <v>90720</v>
      </c>
      <c r="G52" s="134">
        <v>73872</v>
      </c>
      <c r="H52" s="142">
        <v>0</v>
      </c>
      <c r="I52" s="142"/>
      <c r="J52" s="142"/>
      <c r="K52" s="142"/>
      <c r="L52" s="413"/>
      <c r="M52" s="443"/>
    </row>
    <row r="53" spans="1:13" ht="31.5">
      <c r="A53" s="103">
        <v>40</v>
      </c>
      <c r="B53" s="137" t="s">
        <v>147</v>
      </c>
      <c r="C53" s="134">
        <v>52455.6</v>
      </c>
      <c r="D53" s="134"/>
      <c r="E53" s="134"/>
      <c r="F53" s="134">
        <v>52455.6</v>
      </c>
      <c r="G53" s="134"/>
      <c r="H53" s="142">
        <f>G53</f>
        <v>0</v>
      </c>
      <c r="I53" s="142"/>
      <c r="J53" s="142"/>
      <c r="K53" s="142"/>
      <c r="L53" s="413"/>
      <c r="M53" s="443"/>
    </row>
    <row r="54" spans="1:13" ht="31.5">
      <c r="A54" s="103">
        <v>41</v>
      </c>
      <c r="B54" s="137" t="s">
        <v>146</v>
      </c>
      <c r="C54" s="134">
        <v>59111.64</v>
      </c>
      <c r="D54" s="134"/>
      <c r="E54" s="134"/>
      <c r="F54" s="134">
        <v>59111.64</v>
      </c>
      <c r="G54" s="134">
        <v>40426</v>
      </c>
      <c r="H54" s="142">
        <v>0</v>
      </c>
      <c r="I54" s="142"/>
      <c r="J54" s="142"/>
      <c r="K54" s="142"/>
      <c r="L54" s="413"/>
      <c r="M54" s="443"/>
    </row>
    <row r="55" spans="1:13" ht="31.5">
      <c r="A55" s="103">
        <v>42</v>
      </c>
      <c r="B55" s="136" t="s">
        <v>138</v>
      </c>
      <c r="C55" s="134">
        <v>150000</v>
      </c>
      <c r="D55" s="142">
        <f>F55-C55</f>
        <v>-9000</v>
      </c>
      <c r="E55" s="142"/>
      <c r="F55" s="134">
        <v>141000</v>
      </c>
      <c r="G55" s="134">
        <v>141000</v>
      </c>
      <c r="H55" s="142">
        <v>111660</v>
      </c>
      <c r="I55" s="142"/>
      <c r="J55" s="142"/>
      <c r="K55" s="142"/>
      <c r="L55" s="413"/>
      <c r="M55" s="443"/>
    </row>
    <row r="56" spans="1:13" ht="15.75">
      <c r="A56" s="103">
        <v>43</v>
      </c>
      <c r="B56" s="136" t="s">
        <v>140</v>
      </c>
      <c r="C56" s="134">
        <v>13260</v>
      </c>
      <c r="D56" s="142">
        <f>F56-C56</f>
        <v>-2800</v>
      </c>
      <c r="E56" s="142"/>
      <c r="F56" s="134">
        <v>10460</v>
      </c>
      <c r="G56" s="134">
        <v>9588</v>
      </c>
      <c r="H56" s="142">
        <v>2350</v>
      </c>
      <c r="I56" s="142"/>
      <c r="J56" s="142"/>
      <c r="K56" s="142"/>
      <c r="L56" s="413"/>
      <c r="M56" s="443"/>
    </row>
    <row r="57" spans="1:13" ht="15.75">
      <c r="A57" s="103">
        <v>44</v>
      </c>
      <c r="B57" s="137" t="s">
        <v>141</v>
      </c>
      <c r="C57" s="134">
        <v>5500</v>
      </c>
      <c r="D57" s="142"/>
      <c r="E57" s="142"/>
      <c r="F57" s="134">
        <v>5500</v>
      </c>
      <c r="G57" s="134">
        <v>5500</v>
      </c>
      <c r="H57" s="142">
        <v>5500</v>
      </c>
      <c r="I57" s="142"/>
      <c r="J57" s="142"/>
      <c r="K57" s="142"/>
      <c r="L57" s="413"/>
      <c r="M57" s="443"/>
    </row>
    <row r="58" spans="1:13" ht="31.5">
      <c r="A58" s="103">
        <v>45</v>
      </c>
      <c r="B58" s="137" t="s">
        <v>172</v>
      </c>
      <c r="C58" s="134">
        <v>3500</v>
      </c>
      <c r="D58" s="142">
        <f>F58-C58</f>
        <v>-500</v>
      </c>
      <c r="E58" s="142"/>
      <c r="F58" s="134">
        <v>3000</v>
      </c>
      <c r="G58" s="134">
        <v>3000</v>
      </c>
      <c r="H58" s="142">
        <f>G58</f>
        <v>3000</v>
      </c>
      <c r="I58" s="142"/>
      <c r="J58" s="142"/>
      <c r="K58" s="142"/>
      <c r="L58" s="413"/>
      <c r="M58" s="443"/>
    </row>
    <row r="59" spans="1:13" ht="15.75">
      <c r="A59" s="103">
        <v>46</v>
      </c>
      <c r="B59" s="137" t="s">
        <v>196</v>
      </c>
      <c r="C59" s="134">
        <v>5000</v>
      </c>
      <c r="D59" s="142"/>
      <c r="E59" s="142"/>
      <c r="F59" s="134">
        <v>5000</v>
      </c>
      <c r="G59" s="134">
        <v>2200</v>
      </c>
      <c r="H59" s="142">
        <v>2200</v>
      </c>
      <c r="I59" s="142"/>
      <c r="J59" s="142"/>
      <c r="K59" s="142"/>
      <c r="L59" s="413"/>
      <c r="M59" s="443"/>
    </row>
    <row r="60" spans="1:13" ht="15.75">
      <c r="A60" s="103">
        <v>47</v>
      </c>
      <c r="B60" s="137" t="s">
        <v>213</v>
      </c>
      <c r="C60" s="134">
        <v>25000</v>
      </c>
      <c r="D60" s="142"/>
      <c r="E60" s="142"/>
      <c r="F60" s="134">
        <v>25000</v>
      </c>
      <c r="G60" s="134">
        <v>0</v>
      </c>
      <c r="H60" s="142">
        <v>0</v>
      </c>
      <c r="I60" s="142"/>
      <c r="J60" s="142"/>
      <c r="K60" s="142"/>
      <c r="L60" s="413"/>
      <c r="M60" s="443"/>
    </row>
    <row r="61" spans="1:13" ht="15.75">
      <c r="A61" s="103">
        <v>48</v>
      </c>
      <c r="B61" s="137" t="s">
        <v>214</v>
      </c>
      <c r="C61" s="134">
        <v>24000</v>
      </c>
      <c r="D61" s="142"/>
      <c r="E61" s="142"/>
      <c r="F61" s="134">
        <v>24000</v>
      </c>
      <c r="G61" s="134">
        <v>0</v>
      </c>
      <c r="H61" s="142">
        <v>0</v>
      </c>
      <c r="I61" s="142"/>
      <c r="J61" s="142"/>
      <c r="K61" s="142"/>
      <c r="L61" s="413"/>
      <c r="M61" s="443"/>
    </row>
    <row r="62" spans="1:13" ht="15.75">
      <c r="A62" s="103">
        <v>49</v>
      </c>
      <c r="B62" s="137" t="s">
        <v>215</v>
      </c>
      <c r="C62" s="134">
        <v>66220</v>
      </c>
      <c r="D62" s="142"/>
      <c r="E62" s="142"/>
      <c r="F62" s="134">
        <v>66220</v>
      </c>
      <c r="G62" s="134">
        <v>0</v>
      </c>
      <c r="H62" s="142">
        <v>0</v>
      </c>
      <c r="I62" s="142"/>
      <c r="J62" s="142"/>
      <c r="K62" s="142"/>
      <c r="L62" s="413"/>
      <c r="M62" s="443"/>
    </row>
    <row r="63" spans="1:13" ht="15.75">
      <c r="A63" s="103">
        <v>50</v>
      </c>
      <c r="B63" s="137" t="s">
        <v>216</v>
      </c>
      <c r="C63" s="134">
        <v>15000</v>
      </c>
      <c r="D63" s="142">
        <f>F63-C63</f>
        <v>900</v>
      </c>
      <c r="E63" s="142"/>
      <c r="F63" s="134">
        <v>15900</v>
      </c>
      <c r="G63" s="134">
        <v>15900</v>
      </c>
      <c r="H63" s="142">
        <v>15900</v>
      </c>
      <c r="I63" s="142"/>
      <c r="J63" s="142"/>
      <c r="K63" s="142"/>
      <c r="L63" s="413"/>
      <c r="M63" s="443"/>
    </row>
    <row r="64" spans="1:13" ht="15.75">
      <c r="A64" s="103">
        <v>51</v>
      </c>
      <c r="B64" s="137" t="s">
        <v>217</v>
      </c>
      <c r="C64" s="134">
        <v>50000</v>
      </c>
      <c r="D64" s="142">
        <f>F64-C64</f>
        <v>9500</v>
      </c>
      <c r="E64" s="142"/>
      <c r="F64" s="134">
        <v>59500</v>
      </c>
      <c r="G64" s="134">
        <v>59400</v>
      </c>
      <c r="H64" s="142">
        <v>59400</v>
      </c>
      <c r="I64" s="142"/>
      <c r="J64" s="142"/>
      <c r="K64" s="142"/>
      <c r="L64" s="413"/>
      <c r="M64" s="443"/>
    </row>
    <row r="65" spans="1:13" ht="15.75">
      <c r="A65" s="103">
        <v>52</v>
      </c>
      <c r="B65" s="137" t="s">
        <v>218</v>
      </c>
      <c r="C65" s="134">
        <v>7520</v>
      </c>
      <c r="D65" s="142"/>
      <c r="E65" s="142"/>
      <c r="F65" s="134">
        <v>7520</v>
      </c>
      <c r="G65" s="134">
        <v>5500</v>
      </c>
      <c r="H65" s="142">
        <v>5500</v>
      </c>
      <c r="I65" s="142"/>
      <c r="J65" s="142"/>
      <c r="K65" s="142"/>
      <c r="L65" s="413"/>
      <c r="M65" s="443"/>
    </row>
    <row r="66" spans="1:13" ht="31.5">
      <c r="A66" s="103">
        <v>53</v>
      </c>
      <c r="B66" s="137" t="s">
        <v>219</v>
      </c>
      <c r="C66" s="134">
        <v>35000</v>
      </c>
      <c r="D66" s="142"/>
      <c r="E66" s="142"/>
      <c r="F66" s="134">
        <v>35000</v>
      </c>
      <c r="G66" s="134">
        <v>0</v>
      </c>
      <c r="H66" s="142">
        <v>0</v>
      </c>
      <c r="I66" s="142"/>
      <c r="J66" s="142"/>
      <c r="K66" s="142"/>
      <c r="L66" s="448" t="s">
        <v>453</v>
      </c>
      <c r="M66" s="451"/>
    </row>
    <row r="67" spans="1:13" ht="31.5">
      <c r="A67" s="103">
        <v>54</v>
      </c>
      <c r="B67" s="138" t="s">
        <v>237</v>
      </c>
      <c r="C67" s="134">
        <v>7900</v>
      </c>
      <c r="D67" s="142">
        <f>F67-C67</f>
        <v>-900</v>
      </c>
      <c r="E67" s="142"/>
      <c r="F67" s="134">
        <v>7000</v>
      </c>
      <c r="G67" s="134">
        <v>6500</v>
      </c>
      <c r="H67" s="142">
        <v>1580</v>
      </c>
      <c r="I67" s="142"/>
      <c r="J67" s="142"/>
      <c r="K67" s="142"/>
      <c r="L67" s="449"/>
      <c r="M67" s="452"/>
    </row>
    <row r="68" spans="1:13" ht="31.5">
      <c r="A68" s="103">
        <v>55</v>
      </c>
      <c r="B68" s="138" t="s">
        <v>235</v>
      </c>
      <c r="C68" s="134">
        <v>260000</v>
      </c>
      <c r="D68" s="142"/>
      <c r="E68" s="142"/>
      <c r="F68" s="134">
        <v>260000</v>
      </c>
      <c r="G68" s="134">
        <v>178000</v>
      </c>
      <c r="H68" s="142">
        <f>33446.84+54325.6</f>
        <v>87772.44</v>
      </c>
      <c r="I68" s="142"/>
      <c r="J68" s="142"/>
      <c r="K68" s="142"/>
      <c r="L68" s="449"/>
      <c r="M68" s="452"/>
    </row>
    <row r="69" spans="1:13" ht="15.75">
      <c r="A69" s="103">
        <v>56</v>
      </c>
      <c r="B69" s="138" t="s">
        <v>137</v>
      </c>
      <c r="C69" s="134">
        <v>82000</v>
      </c>
      <c r="D69" s="142"/>
      <c r="E69" s="142"/>
      <c r="F69" s="134">
        <v>82000</v>
      </c>
      <c r="G69" s="134">
        <v>78000</v>
      </c>
      <c r="H69" s="142">
        <f>51462.05+27300</f>
        <v>78762.05</v>
      </c>
      <c r="I69" s="142"/>
      <c r="J69" s="142"/>
      <c r="K69" s="142"/>
      <c r="L69" s="449"/>
      <c r="M69" s="452"/>
    </row>
    <row r="70" spans="1:13" ht="15.75">
      <c r="A70" s="103">
        <v>57</v>
      </c>
      <c r="B70" s="138" t="s">
        <v>127</v>
      </c>
      <c r="C70" s="134">
        <v>10000</v>
      </c>
      <c r="D70" s="142"/>
      <c r="E70" s="142"/>
      <c r="F70" s="134">
        <v>10000</v>
      </c>
      <c r="G70" s="135">
        <v>7000</v>
      </c>
      <c r="H70" s="142">
        <f>3960+2870</f>
        <v>6830</v>
      </c>
      <c r="I70" s="142"/>
      <c r="J70" s="142"/>
      <c r="K70" s="142"/>
      <c r="L70" s="449"/>
      <c r="M70" s="452"/>
    </row>
    <row r="71" spans="1:13" ht="15.75">
      <c r="A71" s="103">
        <v>58</v>
      </c>
      <c r="B71" s="138" t="s">
        <v>150</v>
      </c>
      <c r="C71" s="134">
        <v>1200</v>
      </c>
      <c r="D71" s="142"/>
      <c r="E71" s="142"/>
      <c r="F71" s="134">
        <v>1200</v>
      </c>
      <c r="G71" s="135">
        <v>860</v>
      </c>
      <c r="H71" s="142">
        <f>475+258</f>
        <v>733</v>
      </c>
      <c r="I71" s="142"/>
      <c r="J71" s="142"/>
      <c r="K71" s="142"/>
      <c r="L71" s="449"/>
      <c r="M71" s="452"/>
    </row>
    <row r="72" spans="1:13" ht="15.75">
      <c r="A72" s="103">
        <v>59</v>
      </c>
      <c r="B72" s="137" t="s">
        <v>151</v>
      </c>
      <c r="C72" s="134">
        <v>1950</v>
      </c>
      <c r="D72" s="142"/>
      <c r="E72" s="142"/>
      <c r="F72" s="134">
        <v>1950</v>
      </c>
      <c r="G72" s="135">
        <v>1950</v>
      </c>
      <c r="H72" s="142">
        <v>464.4</v>
      </c>
      <c r="I72" s="142"/>
      <c r="J72" s="142"/>
      <c r="K72" s="142"/>
      <c r="L72" s="449"/>
      <c r="M72" s="452"/>
    </row>
    <row r="73" spans="1:13" ht="47.25">
      <c r="A73" s="103">
        <v>60</v>
      </c>
      <c r="B73" s="137" t="s">
        <v>130</v>
      </c>
      <c r="C73" s="134">
        <v>72000</v>
      </c>
      <c r="D73" s="142"/>
      <c r="E73" s="142"/>
      <c r="F73" s="134">
        <v>72000</v>
      </c>
      <c r="G73" s="134">
        <v>0</v>
      </c>
      <c r="H73" s="142">
        <v>6193.11</v>
      </c>
      <c r="I73" s="142"/>
      <c r="J73" s="142"/>
      <c r="K73" s="142"/>
      <c r="L73" s="449"/>
      <c r="M73" s="452"/>
    </row>
    <row r="74" spans="1:13" ht="47.25">
      <c r="A74" s="103">
        <v>61</v>
      </c>
      <c r="B74" s="137" t="s">
        <v>201</v>
      </c>
      <c r="C74" s="134">
        <v>10500</v>
      </c>
      <c r="D74" s="142"/>
      <c r="E74" s="142"/>
      <c r="F74" s="134">
        <v>10500</v>
      </c>
      <c r="G74" s="134">
        <v>0</v>
      </c>
      <c r="H74" s="142">
        <v>0</v>
      </c>
      <c r="I74" s="142"/>
      <c r="J74" s="142"/>
      <c r="K74" s="142"/>
      <c r="L74" s="449"/>
      <c r="M74" s="452"/>
    </row>
    <row r="75" spans="1:13" ht="15.75">
      <c r="A75" s="103">
        <v>62</v>
      </c>
      <c r="B75" s="137" t="s">
        <v>198</v>
      </c>
      <c r="C75" s="134">
        <v>3600</v>
      </c>
      <c r="D75" s="142"/>
      <c r="E75" s="142"/>
      <c r="F75" s="134">
        <v>3600</v>
      </c>
      <c r="G75" s="135">
        <f>50*72</f>
        <v>3600</v>
      </c>
      <c r="H75" s="142">
        <f>1050+1360</f>
        <v>2410</v>
      </c>
      <c r="I75" s="142"/>
      <c r="J75" s="142"/>
      <c r="K75" s="142"/>
      <c r="L75" s="449"/>
      <c r="M75" s="452"/>
    </row>
    <row r="76" spans="1:13" ht="15.75">
      <c r="A76" s="103">
        <v>63</v>
      </c>
      <c r="B76" s="138" t="s">
        <v>149</v>
      </c>
      <c r="C76" s="134">
        <v>1200</v>
      </c>
      <c r="D76" s="142"/>
      <c r="E76" s="142"/>
      <c r="F76" s="134">
        <v>1200</v>
      </c>
      <c r="G76" s="135">
        <v>1200</v>
      </c>
      <c r="H76" s="142">
        <v>60</v>
      </c>
      <c r="I76" s="142"/>
      <c r="J76" s="142"/>
      <c r="K76" s="142"/>
      <c r="L76" s="449"/>
      <c r="M76" s="452"/>
    </row>
    <row r="77" spans="1:13" ht="15.75">
      <c r="A77" s="103">
        <v>64</v>
      </c>
      <c r="B77" s="137" t="s">
        <v>203</v>
      </c>
      <c r="C77" s="134">
        <v>8900</v>
      </c>
      <c r="D77" s="142"/>
      <c r="E77" s="142"/>
      <c r="F77" s="134">
        <v>8900</v>
      </c>
      <c r="G77" s="135">
        <v>8000</v>
      </c>
      <c r="H77" s="142">
        <f>660+416</f>
        <v>1076</v>
      </c>
      <c r="I77" s="142"/>
      <c r="J77" s="142"/>
      <c r="K77" s="142"/>
      <c r="L77" s="449"/>
      <c r="M77" s="452"/>
    </row>
    <row r="78" spans="1:13" ht="15.75">
      <c r="A78" s="103">
        <v>65</v>
      </c>
      <c r="B78" s="137" t="s">
        <v>204</v>
      </c>
      <c r="C78" s="134">
        <v>19000</v>
      </c>
      <c r="D78" s="142"/>
      <c r="E78" s="142"/>
      <c r="F78" s="134">
        <v>19000</v>
      </c>
      <c r="G78" s="135">
        <v>15000</v>
      </c>
      <c r="H78" s="142">
        <f>712.5+1785+825</f>
        <v>3322.5</v>
      </c>
      <c r="I78" s="142"/>
      <c r="J78" s="142"/>
      <c r="K78" s="142"/>
      <c r="L78" s="449"/>
      <c r="M78" s="452"/>
    </row>
    <row r="79" spans="1:13" ht="15.75">
      <c r="A79" s="103">
        <v>66</v>
      </c>
      <c r="B79" s="137" t="s">
        <v>205</v>
      </c>
      <c r="C79" s="134">
        <v>9750</v>
      </c>
      <c r="D79" s="142"/>
      <c r="E79" s="142"/>
      <c r="F79" s="134">
        <v>9750</v>
      </c>
      <c r="G79" s="135">
        <v>9750</v>
      </c>
      <c r="H79" s="142">
        <f>3575+6175</f>
        <v>9750</v>
      </c>
      <c r="I79" s="142"/>
      <c r="J79" s="142"/>
      <c r="K79" s="142"/>
      <c r="L79" s="449"/>
      <c r="M79" s="452"/>
    </row>
    <row r="80" spans="1:13" ht="31.5">
      <c r="A80" s="103">
        <v>67</v>
      </c>
      <c r="B80" s="138" t="s">
        <v>206</v>
      </c>
      <c r="C80" s="134">
        <v>9750</v>
      </c>
      <c r="D80" s="142"/>
      <c r="E80" s="142"/>
      <c r="F80" s="134">
        <v>9750</v>
      </c>
      <c r="G80" s="135">
        <v>9750</v>
      </c>
      <c r="H80" s="142">
        <f>975+6510</f>
        <v>7485</v>
      </c>
      <c r="I80" s="142"/>
      <c r="J80" s="142"/>
      <c r="K80" s="142"/>
      <c r="L80" s="449"/>
      <c r="M80" s="452"/>
    </row>
    <row r="81" spans="1:13" ht="31.5">
      <c r="A81" s="103">
        <v>68</v>
      </c>
      <c r="B81" s="138" t="s">
        <v>148</v>
      </c>
      <c r="C81" s="134">
        <v>4000</v>
      </c>
      <c r="D81" s="142"/>
      <c r="E81" s="142"/>
      <c r="F81" s="134">
        <v>4000</v>
      </c>
      <c r="G81" s="135">
        <f>100*25</f>
        <v>2500</v>
      </c>
      <c r="H81" s="142">
        <v>455.58</v>
      </c>
      <c r="I81" s="142"/>
      <c r="J81" s="142"/>
      <c r="K81" s="142"/>
      <c r="L81" s="449"/>
      <c r="M81" s="452"/>
    </row>
    <row r="82" spans="1:13" ht="31.5">
      <c r="A82" s="103">
        <v>69</v>
      </c>
      <c r="B82" s="138" t="s">
        <v>207</v>
      </c>
      <c r="C82" s="134">
        <v>13500</v>
      </c>
      <c r="D82" s="142"/>
      <c r="E82" s="142"/>
      <c r="F82" s="134">
        <v>13500</v>
      </c>
      <c r="G82" s="135">
        <v>13000</v>
      </c>
      <c r="H82" s="142">
        <f>4926.4+125</f>
        <v>5051.3999999999996</v>
      </c>
      <c r="I82" s="142"/>
      <c r="J82" s="142"/>
      <c r="K82" s="142"/>
      <c r="L82" s="449"/>
      <c r="M82" s="452"/>
    </row>
    <row r="83" spans="1:13" ht="15.75">
      <c r="A83" s="103">
        <v>70</v>
      </c>
      <c r="B83" s="138" t="s">
        <v>131</v>
      </c>
      <c r="C83" s="134">
        <v>16600</v>
      </c>
      <c r="D83" s="142"/>
      <c r="E83" s="142"/>
      <c r="F83" s="134">
        <v>16600</v>
      </c>
      <c r="G83" s="135">
        <v>16600</v>
      </c>
      <c r="H83" s="142">
        <f>664+555</f>
        <v>1219</v>
      </c>
      <c r="I83" s="142"/>
      <c r="J83" s="142"/>
      <c r="K83" s="142"/>
      <c r="L83" s="449"/>
      <c r="M83" s="452"/>
    </row>
    <row r="84" spans="1:13" ht="15.75">
      <c r="A84" s="103">
        <v>71</v>
      </c>
      <c r="B84" s="138" t="s">
        <v>132</v>
      </c>
      <c r="C84" s="134">
        <v>20000</v>
      </c>
      <c r="D84" s="142"/>
      <c r="E84" s="142"/>
      <c r="F84" s="134">
        <v>20000</v>
      </c>
      <c r="G84" s="135">
        <v>19000</v>
      </c>
      <c r="H84" s="142">
        <f>3372.95+960+408.62+495+1480+510</f>
        <v>7226.57</v>
      </c>
      <c r="I84" s="142"/>
      <c r="J84" s="142"/>
      <c r="K84" s="142"/>
      <c r="L84" s="449"/>
      <c r="M84" s="452"/>
    </row>
    <row r="85" spans="1:13" ht="15.75">
      <c r="A85" s="103">
        <v>72</v>
      </c>
      <c r="B85" s="137" t="s">
        <v>211</v>
      </c>
      <c r="C85" s="134">
        <v>3500</v>
      </c>
      <c r="D85" s="142"/>
      <c r="E85" s="142"/>
      <c r="F85" s="134">
        <v>3500</v>
      </c>
      <c r="G85" s="135">
        <v>3400</v>
      </c>
      <c r="H85" s="142">
        <v>471.13</v>
      </c>
      <c r="I85" s="142"/>
      <c r="J85" s="142"/>
      <c r="K85" s="142"/>
      <c r="L85" s="449"/>
      <c r="M85" s="452"/>
    </row>
    <row r="86" spans="1:13" ht="15.75">
      <c r="A86" s="103">
        <v>73</v>
      </c>
      <c r="B86" s="138" t="s">
        <v>152</v>
      </c>
      <c r="C86" s="134">
        <v>7000</v>
      </c>
      <c r="D86" s="142"/>
      <c r="E86" s="142"/>
      <c r="F86" s="134">
        <v>7000</v>
      </c>
      <c r="G86" s="135">
        <v>5200</v>
      </c>
      <c r="H86" s="142">
        <v>3900</v>
      </c>
      <c r="I86" s="142"/>
      <c r="J86" s="142"/>
      <c r="K86" s="142"/>
      <c r="L86" s="449"/>
      <c r="M86" s="452"/>
    </row>
    <row r="87" spans="1:13" ht="63">
      <c r="A87" s="103">
        <v>74</v>
      </c>
      <c r="B87" s="138" t="s">
        <v>208</v>
      </c>
      <c r="C87" s="134">
        <v>4000</v>
      </c>
      <c r="D87" s="142"/>
      <c r="E87" s="142"/>
      <c r="F87" s="134">
        <v>4000</v>
      </c>
      <c r="G87" s="134">
        <v>2700</v>
      </c>
      <c r="H87" s="142">
        <f>405+5880</f>
        <v>6285</v>
      </c>
      <c r="I87" s="142"/>
      <c r="J87" s="142"/>
      <c r="K87" s="142"/>
      <c r="L87" s="449"/>
      <c r="M87" s="452"/>
    </row>
    <row r="88" spans="1:13" ht="15.75">
      <c r="A88" s="103">
        <v>75</v>
      </c>
      <c r="B88" s="137" t="s">
        <v>133</v>
      </c>
      <c r="C88" s="134">
        <v>520</v>
      </c>
      <c r="D88" s="134"/>
      <c r="E88" s="134"/>
      <c r="F88" s="134">
        <v>520</v>
      </c>
      <c r="G88" s="135">
        <v>520</v>
      </c>
      <c r="H88" s="142">
        <v>210</v>
      </c>
      <c r="I88" s="142"/>
      <c r="J88" s="142"/>
      <c r="K88" s="142"/>
      <c r="L88" s="449"/>
      <c r="M88" s="452"/>
    </row>
    <row r="89" spans="1:13" ht="15.75">
      <c r="A89" s="103">
        <v>76</v>
      </c>
      <c r="B89" s="137" t="s">
        <v>212</v>
      </c>
      <c r="C89" s="134">
        <v>2100</v>
      </c>
      <c r="D89" s="134"/>
      <c r="E89" s="134"/>
      <c r="F89" s="134">
        <v>2100</v>
      </c>
      <c r="G89" s="135">
        <v>2100</v>
      </c>
      <c r="H89" s="142">
        <f>828.75+210</f>
        <v>1038.75</v>
      </c>
      <c r="I89" s="142"/>
      <c r="J89" s="142"/>
      <c r="K89" s="142"/>
      <c r="L89" s="449"/>
      <c r="M89" s="452"/>
    </row>
    <row r="90" spans="1:13" ht="15.75">
      <c r="A90" s="103">
        <v>77</v>
      </c>
      <c r="B90" s="137" t="s">
        <v>134</v>
      </c>
      <c r="C90" s="134">
        <v>6000</v>
      </c>
      <c r="D90" s="134"/>
      <c r="E90" s="134"/>
      <c r="F90" s="134">
        <v>6000</v>
      </c>
      <c r="G90" s="135">
        <v>5200</v>
      </c>
      <c r="H90" s="142">
        <f>2100+1300</f>
        <v>3400</v>
      </c>
      <c r="I90" s="142"/>
      <c r="J90" s="142"/>
      <c r="K90" s="142"/>
      <c r="L90" s="449"/>
      <c r="M90" s="452"/>
    </row>
    <row r="91" spans="1:13" ht="31.5">
      <c r="A91" s="103">
        <v>78</v>
      </c>
      <c r="B91" s="137" t="s">
        <v>209</v>
      </c>
      <c r="C91" s="134">
        <v>8500</v>
      </c>
      <c r="D91" s="134"/>
      <c r="E91" s="134"/>
      <c r="F91" s="134">
        <v>8500</v>
      </c>
      <c r="G91" s="135">
        <v>8500</v>
      </c>
      <c r="H91" s="142">
        <f>510+2938</f>
        <v>3448</v>
      </c>
      <c r="I91" s="142"/>
      <c r="J91" s="142"/>
      <c r="K91" s="142"/>
      <c r="L91" s="449"/>
      <c r="M91" s="452"/>
    </row>
    <row r="92" spans="1:13" ht="15.75">
      <c r="A92" s="103">
        <v>79</v>
      </c>
      <c r="B92" s="137" t="s">
        <v>210</v>
      </c>
      <c r="C92" s="134">
        <v>2600</v>
      </c>
      <c r="D92" s="134"/>
      <c r="E92" s="134"/>
      <c r="F92" s="134">
        <v>2600</v>
      </c>
      <c r="G92" s="135">
        <v>2200</v>
      </c>
      <c r="H92" s="142">
        <f>352+672.88</f>
        <v>1024.8800000000001</v>
      </c>
      <c r="I92" s="142"/>
      <c r="J92" s="142"/>
      <c r="K92" s="142"/>
      <c r="L92" s="449"/>
      <c r="M92" s="452"/>
    </row>
    <row r="93" spans="1:13" ht="15.75">
      <c r="A93" s="103">
        <v>80</v>
      </c>
      <c r="B93" s="137" t="s">
        <v>135</v>
      </c>
      <c r="C93" s="134">
        <v>200</v>
      </c>
      <c r="D93" s="134"/>
      <c r="E93" s="134"/>
      <c r="F93" s="134">
        <v>200</v>
      </c>
      <c r="G93" s="135">
        <v>200</v>
      </c>
      <c r="H93" s="142">
        <v>329.48</v>
      </c>
      <c r="I93" s="142"/>
      <c r="J93" s="142"/>
      <c r="K93" s="142"/>
      <c r="L93" s="449"/>
      <c r="M93" s="452"/>
    </row>
    <row r="94" spans="1:13" ht="15.75">
      <c r="A94" s="103">
        <v>81</v>
      </c>
      <c r="B94" s="137" t="s">
        <v>136</v>
      </c>
      <c r="C94" s="134">
        <v>750</v>
      </c>
      <c r="D94" s="134"/>
      <c r="E94" s="134"/>
      <c r="F94" s="134">
        <v>750</v>
      </c>
      <c r="G94" s="135">
        <v>750</v>
      </c>
      <c r="H94" s="142"/>
      <c r="I94" s="142"/>
      <c r="J94" s="142"/>
      <c r="K94" s="142"/>
      <c r="L94" s="449"/>
      <c r="M94" s="452"/>
    </row>
    <row r="95" spans="1:13" ht="31.5">
      <c r="A95" s="103">
        <v>66</v>
      </c>
      <c r="B95" s="138" t="s">
        <v>315</v>
      </c>
      <c r="C95" s="134"/>
      <c r="D95" s="142">
        <v>2800</v>
      </c>
      <c r="E95" s="142"/>
      <c r="F95" s="134">
        <v>2800</v>
      </c>
      <c r="G95" s="134">
        <v>2800</v>
      </c>
      <c r="H95" s="142">
        <f>G95</f>
        <v>2800</v>
      </c>
      <c r="I95" s="142"/>
      <c r="J95" s="142"/>
      <c r="K95" s="142"/>
      <c r="L95" s="449"/>
      <c r="M95" s="452"/>
    </row>
    <row r="96" spans="1:13" ht="31.5">
      <c r="A96" s="103">
        <v>68</v>
      </c>
      <c r="B96" s="138" t="s">
        <v>326</v>
      </c>
      <c r="C96" s="134"/>
      <c r="D96" s="134">
        <v>8000</v>
      </c>
      <c r="E96" s="134"/>
      <c r="F96" s="134">
        <v>8000</v>
      </c>
      <c r="G96" s="142">
        <v>7500</v>
      </c>
      <c r="H96" s="142">
        <v>7500</v>
      </c>
      <c r="I96" s="142"/>
      <c r="J96" s="142"/>
      <c r="K96" s="142"/>
      <c r="L96" s="449"/>
      <c r="M96" s="452"/>
    </row>
    <row r="97" spans="1:13" ht="15.75">
      <c r="A97" s="103">
        <v>69</v>
      </c>
      <c r="B97" s="138" t="s">
        <v>327</v>
      </c>
      <c r="C97" s="134"/>
      <c r="D97" s="134">
        <v>6600</v>
      </c>
      <c r="E97" s="134"/>
      <c r="F97" s="134">
        <v>6600</v>
      </c>
      <c r="G97" s="135">
        <v>6540</v>
      </c>
      <c r="H97" s="142">
        <v>6540</v>
      </c>
      <c r="I97" s="142"/>
      <c r="J97" s="142"/>
      <c r="K97" s="142"/>
      <c r="L97" s="449"/>
      <c r="M97" s="452"/>
    </row>
    <row r="98" spans="1:13" ht="31.5">
      <c r="A98" s="103">
        <v>70</v>
      </c>
      <c r="B98" s="138" t="s">
        <v>328</v>
      </c>
      <c r="C98" s="134"/>
      <c r="D98" s="134">
        <v>1000</v>
      </c>
      <c r="E98" s="134"/>
      <c r="F98" s="134">
        <v>1000</v>
      </c>
      <c r="G98" s="135">
        <v>1000</v>
      </c>
      <c r="H98" s="142">
        <v>1000</v>
      </c>
      <c r="I98" s="142"/>
      <c r="J98" s="142"/>
      <c r="K98" s="142"/>
      <c r="L98" s="449"/>
      <c r="M98" s="452"/>
    </row>
    <row r="99" spans="1:13" ht="15.75">
      <c r="A99" s="103">
        <v>71</v>
      </c>
      <c r="B99" s="138" t="s">
        <v>329</v>
      </c>
      <c r="C99" s="134"/>
      <c r="D99" s="134">
        <v>735.84</v>
      </c>
      <c r="E99" s="134"/>
      <c r="F99" s="134">
        <v>735.84</v>
      </c>
      <c r="G99" s="135">
        <v>500</v>
      </c>
      <c r="H99" s="142">
        <v>500</v>
      </c>
      <c r="I99" s="142"/>
      <c r="J99" s="142"/>
      <c r="K99" s="142"/>
      <c r="L99" s="449"/>
      <c r="M99" s="452"/>
    </row>
    <row r="100" spans="1:13" ht="31.5">
      <c r="A100" s="103"/>
      <c r="B100" s="138" t="s">
        <v>393</v>
      </c>
      <c r="C100" s="134"/>
      <c r="D100" s="134"/>
      <c r="E100" s="134"/>
      <c r="F100" s="134"/>
      <c r="G100" s="135"/>
      <c r="H100" s="142">
        <v>156</v>
      </c>
      <c r="I100" s="142"/>
      <c r="J100" s="142"/>
      <c r="K100" s="142"/>
      <c r="L100" s="450"/>
      <c r="M100" s="453"/>
    </row>
    <row r="101" spans="1:13" ht="47.25">
      <c r="A101" s="103"/>
      <c r="B101" s="138" t="s">
        <v>394</v>
      </c>
      <c r="C101" s="134"/>
      <c r="D101" s="134"/>
      <c r="E101" s="134"/>
      <c r="F101" s="134"/>
      <c r="G101" s="135"/>
      <c r="H101" s="142">
        <v>6454</v>
      </c>
      <c r="I101" s="142"/>
      <c r="J101" s="142"/>
      <c r="K101" s="142"/>
      <c r="L101" s="450"/>
      <c r="M101" s="453"/>
    </row>
    <row r="102" spans="1:13" ht="31.5">
      <c r="A102" s="103"/>
      <c r="B102" s="138" t="s">
        <v>395</v>
      </c>
      <c r="C102" s="134"/>
      <c r="D102" s="134"/>
      <c r="E102" s="134"/>
      <c r="F102" s="134"/>
      <c r="G102" s="135"/>
      <c r="H102" s="142">
        <v>4041</v>
      </c>
      <c r="I102" s="142"/>
      <c r="J102" s="142"/>
      <c r="K102" s="142"/>
      <c r="L102" s="450"/>
      <c r="M102" s="453"/>
    </row>
    <row r="103" spans="1:13" ht="47.25">
      <c r="A103" s="103"/>
      <c r="B103" s="138" t="s">
        <v>396</v>
      </c>
      <c r="C103" s="134"/>
      <c r="D103" s="134"/>
      <c r="E103" s="134"/>
      <c r="F103" s="134"/>
      <c r="G103" s="135"/>
      <c r="H103" s="142">
        <v>9500</v>
      </c>
      <c r="I103" s="142"/>
      <c r="J103" s="142"/>
      <c r="K103" s="142"/>
      <c r="L103" s="450"/>
      <c r="M103" s="453"/>
    </row>
    <row r="104" spans="1:13" ht="31.5">
      <c r="A104" s="103"/>
      <c r="B104" s="138" t="s">
        <v>397</v>
      </c>
      <c r="C104" s="134"/>
      <c r="D104" s="134"/>
      <c r="E104" s="134"/>
      <c r="F104" s="134"/>
      <c r="G104" s="135"/>
      <c r="H104" s="142">
        <f>100+275+90+168+28+150+65+98+3320+520+900+65+50+540+169+280+1400</f>
        <v>8218</v>
      </c>
      <c r="I104" s="142"/>
      <c r="J104" s="142"/>
      <c r="K104" s="142"/>
      <c r="L104" s="450"/>
      <c r="M104" s="453"/>
    </row>
    <row r="105" spans="1:13" ht="15.75">
      <c r="A105" s="103"/>
      <c r="B105" s="138" t="s">
        <v>398</v>
      </c>
      <c r="C105" s="134"/>
      <c r="D105" s="134"/>
      <c r="E105" s="134"/>
      <c r="F105" s="134"/>
      <c r="G105" s="135"/>
      <c r="H105" s="142">
        <v>166.62</v>
      </c>
      <c r="I105" s="142"/>
      <c r="J105" s="142"/>
      <c r="K105" s="142"/>
      <c r="L105" s="450"/>
      <c r="M105" s="453"/>
    </row>
    <row r="106" spans="1:13" ht="31.5">
      <c r="A106" s="103"/>
      <c r="B106" s="138" t="s">
        <v>399</v>
      </c>
      <c r="C106" s="134"/>
      <c r="D106" s="134"/>
      <c r="E106" s="134"/>
      <c r="F106" s="134"/>
      <c r="G106" s="135"/>
      <c r="H106" s="142">
        <v>3825</v>
      </c>
      <c r="I106" s="142"/>
      <c r="J106" s="142"/>
      <c r="K106" s="142"/>
      <c r="L106" s="450"/>
      <c r="M106" s="453"/>
    </row>
    <row r="107" spans="1:13" ht="15.75">
      <c r="A107" s="103"/>
      <c r="B107" s="138" t="s">
        <v>400</v>
      </c>
      <c r="C107" s="134"/>
      <c r="D107" s="134"/>
      <c r="E107" s="134"/>
      <c r="F107" s="134"/>
      <c r="G107" s="135"/>
      <c r="H107" s="142">
        <v>3825</v>
      </c>
      <c r="I107" s="142"/>
      <c r="J107" s="142"/>
      <c r="K107" s="142"/>
      <c r="L107" s="450"/>
      <c r="M107" s="453"/>
    </row>
    <row r="108" spans="1:13" ht="31.5">
      <c r="A108" s="103"/>
      <c r="B108" s="138" t="s">
        <v>401</v>
      </c>
      <c r="C108" s="134"/>
      <c r="D108" s="134"/>
      <c r="E108" s="134"/>
      <c r="F108" s="134"/>
      <c r="G108" s="135"/>
      <c r="H108" s="142">
        <v>2567</v>
      </c>
      <c r="I108" s="142"/>
      <c r="J108" s="142"/>
      <c r="K108" s="142"/>
      <c r="L108" s="450"/>
      <c r="M108" s="453"/>
    </row>
    <row r="109" spans="1:13" ht="31.5">
      <c r="A109" s="103"/>
      <c r="B109" s="138" t="s">
        <v>402</v>
      </c>
      <c r="C109" s="134"/>
      <c r="D109" s="134"/>
      <c r="E109" s="134"/>
      <c r="F109" s="134"/>
      <c r="G109" s="135"/>
      <c r="H109" s="142">
        <v>1800</v>
      </c>
      <c r="I109" s="142"/>
      <c r="J109" s="142"/>
      <c r="K109" s="142"/>
      <c r="L109" s="450"/>
      <c r="M109" s="453"/>
    </row>
    <row r="110" spans="1:13" ht="31.5">
      <c r="A110" s="103"/>
      <c r="B110" s="138" t="s">
        <v>403</v>
      </c>
      <c r="C110" s="134"/>
      <c r="D110" s="134"/>
      <c r="E110" s="134"/>
      <c r="F110" s="134"/>
      <c r="G110" s="135"/>
      <c r="H110" s="142">
        <v>2316</v>
      </c>
      <c r="I110" s="142"/>
      <c r="J110" s="142"/>
      <c r="K110" s="142"/>
      <c r="L110" s="450"/>
      <c r="M110" s="453"/>
    </row>
    <row r="111" spans="1:13" ht="31.5">
      <c r="A111" s="103"/>
      <c r="B111" s="138" t="s">
        <v>404</v>
      </c>
      <c r="C111" s="134"/>
      <c r="D111" s="134"/>
      <c r="E111" s="134"/>
      <c r="F111" s="134"/>
      <c r="G111" s="135"/>
      <c r="H111" s="142">
        <v>3500</v>
      </c>
      <c r="I111" s="142"/>
      <c r="J111" s="142"/>
      <c r="K111" s="142"/>
      <c r="L111" s="450"/>
      <c r="M111" s="453"/>
    </row>
    <row r="112" spans="1:13" ht="47.25">
      <c r="A112" s="103"/>
      <c r="B112" s="138" t="s">
        <v>405</v>
      </c>
      <c r="C112" s="134"/>
      <c r="D112" s="134"/>
      <c r="E112" s="134"/>
      <c r="F112" s="134"/>
      <c r="G112" s="135"/>
      <c r="H112" s="142">
        <v>2680</v>
      </c>
      <c r="I112" s="142"/>
      <c r="J112" s="142"/>
      <c r="K112" s="142"/>
      <c r="L112" s="450"/>
      <c r="M112" s="453"/>
    </row>
    <row r="113" spans="1:13" ht="15.75">
      <c r="A113" s="103"/>
      <c r="B113" s="138" t="s">
        <v>406</v>
      </c>
      <c r="C113" s="134"/>
      <c r="D113" s="134"/>
      <c r="E113" s="134"/>
      <c r="F113" s="134"/>
      <c r="G113" s="135"/>
      <c r="H113" s="142">
        <v>4735.91</v>
      </c>
      <c r="I113" s="142"/>
      <c r="J113" s="142"/>
      <c r="K113" s="142"/>
      <c r="L113" s="450"/>
      <c r="M113" s="453"/>
    </row>
    <row r="114" spans="1:13" ht="15.75">
      <c r="A114" s="103"/>
      <c r="B114" s="138" t="s">
        <v>407</v>
      </c>
      <c r="C114" s="134"/>
      <c r="D114" s="134"/>
      <c r="E114" s="134"/>
      <c r="F114" s="134"/>
      <c r="G114" s="135"/>
      <c r="H114" s="142">
        <v>1980</v>
      </c>
      <c r="I114" s="142"/>
      <c r="J114" s="142"/>
      <c r="K114" s="142"/>
      <c r="L114" s="450"/>
      <c r="M114" s="453"/>
    </row>
    <row r="115" spans="1:13" ht="15.75">
      <c r="A115" s="103"/>
      <c r="B115" s="138" t="s">
        <v>408</v>
      </c>
      <c r="C115" s="134"/>
      <c r="D115" s="134"/>
      <c r="E115" s="134"/>
      <c r="F115" s="134"/>
      <c r="G115" s="135"/>
      <c r="H115" s="142">
        <v>3184</v>
      </c>
      <c r="I115" s="142"/>
      <c r="J115" s="142"/>
      <c r="K115" s="142"/>
      <c r="L115" s="450"/>
      <c r="M115" s="453"/>
    </row>
    <row r="116" spans="1:13" ht="47.25">
      <c r="A116" s="103"/>
      <c r="B116" s="138" t="s">
        <v>409</v>
      </c>
      <c r="C116" s="134"/>
      <c r="D116" s="134"/>
      <c r="E116" s="134"/>
      <c r="F116" s="134"/>
      <c r="G116" s="135"/>
      <c r="H116" s="142">
        <v>11222</v>
      </c>
      <c r="I116" s="142"/>
      <c r="J116" s="142"/>
      <c r="K116" s="142"/>
      <c r="L116" s="450"/>
      <c r="M116" s="453"/>
    </row>
    <row r="117" spans="1:13" ht="15.75">
      <c r="A117" s="103"/>
      <c r="B117" s="138" t="s">
        <v>410</v>
      </c>
      <c r="C117" s="134"/>
      <c r="D117" s="134"/>
      <c r="E117" s="134"/>
      <c r="F117" s="134"/>
      <c r="G117" s="135"/>
      <c r="H117" s="142">
        <v>930</v>
      </c>
      <c r="I117" s="142"/>
      <c r="J117" s="142"/>
      <c r="K117" s="142"/>
      <c r="L117" s="450"/>
      <c r="M117" s="453"/>
    </row>
    <row r="118" spans="1:13" ht="15.75">
      <c r="A118" s="103"/>
      <c r="B118" s="138" t="s">
        <v>411</v>
      </c>
      <c r="C118" s="134"/>
      <c r="D118" s="134"/>
      <c r="E118" s="134"/>
      <c r="F118" s="134"/>
      <c r="G118" s="135"/>
      <c r="H118" s="142">
        <v>21550</v>
      </c>
      <c r="I118" s="142"/>
      <c r="J118" s="142"/>
      <c r="K118" s="142"/>
      <c r="L118" s="450"/>
      <c r="M118" s="453"/>
    </row>
    <row r="119" spans="1:13" ht="31.5">
      <c r="A119" s="103"/>
      <c r="B119" s="138" t="s">
        <v>412</v>
      </c>
      <c r="C119" s="134"/>
      <c r="D119" s="134"/>
      <c r="E119" s="134"/>
      <c r="F119" s="134"/>
      <c r="G119" s="135"/>
      <c r="H119" s="142">
        <v>1250</v>
      </c>
      <c r="I119" s="142"/>
      <c r="J119" s="142"/>
      <c r="K119" s="142"/>
      <c r="L119" s="450"/>
      <c r="M119" s="453"/>
    </row>
    <row r="120" spans="1:13" ht="31.5">
      <c r="A120" s="103"/>
      <c r="B120" s="138" t="s">
        <v>413</v>
      </c>
      <c r="C120" s="134"/>
      <c r="D120" s="134"/>
      <c r="E120" s="134"/>
      <c r="F120" s="134"/>
      <c r="G120" s="135"/>
      <c r="H120" s="142">
        <v>1250</v>
      </c>
      <c r="I120" s="142"/>
      <c r="J120" s="142"/>
      <c r="K120" s="142"/>
      <c r="L120" s="450"/>
      <c r="M120" s="453"/>
    </row>
    <row r="121" spans="1:13" ht="15.75">
      <c r="A121" s="103"/>
      <c r="B121" s="138" t="s">
        <v>414</v>
      </c>
      <c r="C121" s="134"/>
      <c r="D121" s="134"/>
      <c r="E121" s="134"/>
      <c r="F121" s="134"/>
      <c r="G121" s="135"/>
      <c r="H121" s="142">
        <v>278</v>
      </c>
      <c r="I121" s="142"/>
      <c r="J121" s="142"/>
      <c r="K121" s="142"/>
      <c r="L121" s="450"/>
      <c r="M121" s="453"/>
    </row>
    <row r="122" spans="1:13" ht="31.5">
      <c r="A122" s="103"/>
      <c r="B122" s="138" t="s">
        <v>415</v>
      </c>
      <c r="C122" s="134"/>
      <c r="D122" s="134"/>
      <c r="E122" s="134"/>
      <c r="F122" s="134"/>
      <c r="G122" s="135"/>
      <c r="H122" s="142">
        <v>630</v>
      </c>
      <c r="I122" s="142"/>
      <c r="J122" s="142"/>
      <c r="K122" s="142"/>
      <c r="L122" s="450"/>
      <c r="M122" s="453"/>
    </row>
    <row r="123" spans="1:13" ht="15.75">
      <c r="A123" s="103"/>
      <c r="B123" s="138" t="s">
        <v>416</v>
      </c>
      <c r="C123" s="134"/>
      <c r="D123" s="134"/>
      <c r="E123" s="134"/>
      <c r="F123" s="134"/>
      <c r="G123" s="135"/>
      <c r="H123" s="142">
        <v>196.14</v>
      </c>
      <c r="I123" s="142"/>
      <c r="J123" s="142"/>
      <c r="K123" s="142"/>
      <c r="L123" s="450"/>
      <c r="M123" s="453"/>
    </row>
    <row r="124" spans="1:13" ht="31.5">
      <c r="A124" s="103"/>
      <c r="B124" s="138" t="s">
        <v>417</v>
      </c>
      <c r="C124" s="134"/>
      <c r="D124" s="134"/>
      <c r="E124" s="134"/>
      <c r="F124" s="134"/>
      <c r="G124" s="135"/>
      <c r="H124" s="142">
        <v>4930.3100000000004</v>
      </c>
      <c r="I124" s="142"/>
      <c r="J124" s="142"/>
      <c r="K124" s="142"/>
      <c r="L124" s="450"/>
      <c r="M124" s="453"/>
    </row>
    <row r="125" spans="1:13" ht="15.75">
      <c r="A125" s="103"/>
      <c r="B125" s="138" t="s">
        <v>418</v>
      </c>
      <c r="C125" s="134"/>
      <c r="D125" s="134"/>
      <c r="E125" s="134"/>
      <c r="F125" s="134"/>
      <c r="G125" s="135"/>
      <c r="H125" s="142">
        <v>1347.88</v>
      </c>
      <c r="I125" s="142"/>
      <c r="J125" s="142"/>
      <c r="K125" s="142"/>
      <c r="L125" s="450"/>
      <c r="M125" s="453"/>
    </row>
    <row r="126" spans="1:13" ht="47.25">
      <c r="A126" s="103"/>
      <c r="B126" s="138" t="s">
        <v>419</v>
      </c>
      <c r="C126" s="134"/>
      <c r="D126" s="134"/>
      <c r="E126" s="134"/>
      <c r="F126" s="134"/>
      <c r="G126" s="135"/>
      <c r="H126" s="142">
        <v>1768</v>
      </c>
      <c r="I126" s="142"/>
      <c r="J126" s="142"/>
      <c r="K126" s="142"/>
      <c r="L126" s="450"/>
      <c r="M126" s="453"/>
    </row>
    <row r="127" spans="1:13" ht="15.75">
      <c r="A127" s="103"/>
      <c r="B127" s="138" t="s">
        <v>420</v>
      </c>
      <c r="C127" s="134"/>
      <c r="D127" s="134"/>
      <c r="E127" s="134"/>
      <c r="F127" s="134"/>
      <c r="G127" s="135"/>
      <c r="H127" s="142">
        <v>476.43</v>
      </c>
      <c r="I127" s="142"/>
      <c r="J127" s="142"/>
      <c r="K127" s="142"/>
      <c r="L127" s="450"/>
      <c r="M127" s="453"/>
    </row>
    <row r="128" spans="1:13" ht="31.5">
      <c r="A128" s="103"/>
      <c r="B128" s="138" t="s">
        <v>421</v>
      </c>
      <c r="C128" s="134"/>
      <c r="D128" s="134"/>
      <c r="E128" s="134"/>
      <c r="F128" s="134"/>
      <c r="G128" s="135"/>
      <c r="H128" s="142">
        <v>4095</v>
      </c>
      <c r="I128" s="142"/>
      <c r="J128" s="142"/>
      <c r="K128" s="142"/>
      <c r="L128" s="450"/>
      <c r="M128" s="453"/>
    </row>
    <row r="129" spans="1:13" ht="31.5">
      <c r="A129" s="103"/>
      <c r="B129" s="138" t="s">
        <v>422</v>
      </c>
      <c r="C129" s="134"/>
      <c r="D129" s="134"/>
      <c r="E129" s="134"/>
      <c r="F129" s="134"/>
      <c r="G129" s="135"/>
      <c r="H129" s="142">
        <v>22700</v>
      </c>
      <c r="I129" s="142"/>
      <c r="J129" s="142"/>
      <c r="K129" s="142"/>
      <c r="L129" s="450"/>
      <c r="M129" s="453"/>
    </row>
    <row r="130" spans="1:13" ht="15.75">
      <c r="A130" s="103"/>
      <c r="B130" s="138" t="s">
        <v>423</v>
      </c>
      <c r="C130" s="134"/>
      <c r="D130" s="134"/>
      <c r="E130" s="134"/>
      <c r="F130" s="134"/>
      <c r="G130" s="135"/>
      <c r="H130" s="142">
        <v>348</v>
      </c>
      <c r="I130" s="142"/>
      <c r="J130" s="142"/>
      <c r="K130" s="142"/>
      <c r="L130" s="450"/>
      <c r="M130" s="453"/>
    </row>
    <row r="131" spans="1:13" ht="31.5">
      <c r="A131" s="103"/>
      <c r="B131" s="138" t="s">
        <v>424</v>
      </c>
      <c r="C131" s="134"/>
      <c r="D131" s="134"/>
      <c r="E131" s="134"/>
      <c r="F131" s="134"/>
      <c r="G131" s="135"/>
      <c r="H131" s="142">
        <v>1692.53</v>
      </c>
      <c r="I131" s="142"/>
      <c r="J131" s="142"/>
      <c r="K131" s="142"/>
      <c r="L131" s="450"/>
      <c r="M131" s="453"/>
    </row>
    <row r="132" spans="1:13" ht="15.75">
      <c r="A132" s="103"/>
      <c r="B132" s="138" t="s">
        <v>425</v>
      </c>
      <c r="C132" s="134"/>
      <c r="D132" s="134"/>
      <c r="E132" s="134"/>
      <c r="F132" s="134"/>
      <c r="G132" s="135"/>
      <c r="H132" s="142">
        <v>4287.8100000000004</v>
      </c>
      <c r="I132" s="142"/>
      <c r="J132" s="142"/>
      <c r="K132" s="142"/>
      <c r="L132" s="450"/>
      <c r="M132" s="453"/>
    </row>
    <row r="133" spans="1:13" ht="31.5">
      <c r="A133" s="103"/>
      <c r="B133" s="138" t="s">
        <v>426</v>
      </c>
      <c r="C133" s="134"/>
      <c r="D133" s="134"/>
      <c r="E133" s="134"/>
      <c r="F133" s="134"/>
      <c r="G133" s="135"/>
      <c r="H133" s="142">
        <v>6954.55</v>
      </c>
      <c r="I133" s="142"/>
      <c r="J133" s="142"/>
      <c r="K133" s="142"/>
      <c r="L133" s="450"/>
      <c r="M133" s="453"/>
    </row>
    <row r="134" spans="1:13" ht="31.5">
      <c r="A134" s="103"/>
      <c r="B134" s="138" t="s">
        <v>427</v>
      </c>
      <c r="C134" s="134"/>
      <c r="D134" s="134"/>
      <c r="E134" s="134"/>
      <c r="F134" s="134"/>
      <c r="G134" s="135"/>
      <c r="H134" s="142">
        <v>5700</v>
      </c>
      <c r="I134" s="142"/>
      <c r="J134" s="142"/>
      <c r="K134" s="142"/>
      <c r="L134" s="450"/>
      <c r="M134" s="453"/>
    </row>
    <row r="135" spans="1:13" ht="15.75">
      <c r="A135" s="103"/>
      <c r="B135" s="138" t="s">
        <v>428</v>
      </c>
      <c r="C135" s="134"/>
      <c r="D135" s="134"/>
      <c r="E135" s="134"/>
      <c r="F135" s="134"/>
      <c r="G135" s="135"/>
      <c r="H135" s="142">
        <v>510</v>
      </c>
      <c r="I135" s="142"/>
      <c r="J135" s="142"/>
      <c r="K135" s="142"/>
      <c r="L135" s="450"/>
      <c r="M135" s="453"/>
    </row>
    <row r="136" spans="1:13" ht="47.25">
      <c r="A136" s="103"/>
      <c r="B136" s="138" t="s">
        <v>429</v>
      </c>
      <c r="C136" s="134"/>
      <c r="D136" s="134"/>
      <c r="E136" s="134"/>
      <c r="F136" s="134"/>
      <c r="G136" s="135"/>
      <c r="H136" s="142">
        <v>2822</v>
      </c>
      <c r="I136" s="142"/>
      <c r="J136" s="142"/>
      <c r="K136" s="142"/>
      <c r="L136" s="450"/>
      <c r="M136" s="453"/>
    </row>
    <row r="137" spans="1:13" ht="31.5">
      <c r="A137" s="360"/>
      <c r="B137" s="356" t="s">
        <v>379</v>
      </c>
      <c r="C137" s="357">
        <f>SUM(C39:C136)-15668.64</f>
        <v>2287459.8800000004</v>
      </c>
      <c r="D137" s="358">
        <f>SUM(D39:D99)</f>
        <v>-69999.999999999985</v>
      </c>
      <c r="E137" s="358"/>
      <c r="F137" s="357">
        <f>SUM(F39:F136)-16000</f>
        <v>2217128.5199999996</v>
      </c>
      <c r="G137" s="357">
        <f>SUM(G39:G136)</f>
        <v>1787591</v>
      </c>
      <c r="H137" s="357">
        <f>SUM(H39:H136)-5669.77</f>
        <v>1122996.4499999997</v>
      </c>
      <c r="I137" s="357"/>
      <c r="J137" s="357">
        <f>F137</f>
        <v>2217128.5199999996</v>
      </c>
      <c r="K137" s="357">
        <f>SUM(K39:K136)</f>
        <v>4694.5200000000041</v>
      </c>
      <c r="L137" s="357"/>
      <c r="M137" s="361"/>
    </row>
    <row r="138" spans="1:13" ht="51">
      <c r="A138" s="268">
        <v>82</v>
      </c>
      <c r="B138" s="136" t="s">
        <v>220</v>
      </c>
      <c r="C138" s="134">
        <v>120000</v>
      </c>
      <c r="D138" s="134"/>
      <c r="E138" s="134"/>
      <c r="F138" s="134">
        <v>120000</v>
      </c>
      <c r="G138" s="134">
        <v>45000</v>
      </c>
      <c r="H138" s="134">
        <f>G138</f>
        <v>45000</v>
      </c>
      <c r="I138" s="134"/>
      <c r="J138" s="267">
        <f>H138</f>
        <v>45000</v>
      </c>
      <c r="K138" s="134">
        <f>F138-J138</f>
        <v>75000</v>
      </c>
      <c r="L138" s="371" t="s">
        <v>458</v>
      </c>
      <c r="M138" s="374" t="s">
        <v>475</v>
      </c>
    </row>
    <row r="139" spans="1:13" ht="51">
      <c r="A139" s="268">
        <v>83</v>
      </c>
      <c r="B139" s="136" t="s">
        <v>221</v>
      </c>
      <c r="C139" s="134">
        <v>126240</v>
      </c>
      <c r="D139" s="134">
        <v>-2300</v>
      </c>
      <c r="E139" s="134"/>
      <c r="F139" s="134">
        <f>C139+D139</f>
        <v>123940</v>
      </c>
      <c r="G139" s="134">
        <v>55000</v>
      </c>
      <c r="H139" s="134">
        <f>G139</f>
        <v>55000</v>
      </c>
      <c r="I139" s="134"/>
      <c r="J139" s="134">
        <f>H139</f>
        <v>55000</v>
      </c>
      <c r="K139" s="134">
        <f>F139-J139</f>
        <v>68940</v>
      </c>
      <c r="L139" s="371" t="s">
        <v>458</v>
      </c>
      <c r="M139" s="374" t="s">
        <v>476</v>
      </c>
    </row>
    <row r="140" spans="1:13" ht="51">
      <c r="A140" s="268">
        <v>84</v>
      </c>
      <c r="B140" s="136" t="s">
        <v>56</v>
      </c>
      <c r="C140" s="134">
        <v>386600</v>
      </c>
      <c r="D140" s="134">
        <v>-130000</v>
      </c>
      <c r="E140" s="134"/>
      <c r="F140" s="134">
        <f>C140+D140</f>
        <v>256600</v>
      </c>
      <c r="G140" s="134"/>
      <c r="H140" s="134"/>
      <c r="I140" s="134"/>
      <c r="J140" s="134">
        <v>200000</v>
      </c>
      <c r="K140" s="134">
        <f>F140-J140</f>
        <v>56600</v>
      </c>
      <c r="L140" s="371" t="s">
        <v>458</v>
      </c>
      <c r="M140" s="374" t="s">
        <v>477</v>
      </c>
    </row>
    <row r="141" spans="1:13" ht="31.5">
      <c r="A141" s="268">
        <v>85</v>
      </c>
      <c r="B141" s="136" t="s">
        <v>58</v>
      </c>
      <c r="C141" s="134">
        <v>157700</v>
      </c>
      <c r="D141" s="134">
        <v>132300</v>
      </c>
      <c r="E141" s="134"/>
      <c r="F141" s="134">
        <f>C141+D141</f>
        <v>290000</v>
      </c>
      <c r="G141" s="134">
        <v>290000</v>
      </c>
      <c r="H141" s="134">
        <f>G141</f>
        <v>290000</v>
      </c>
      <c r="I141" s="134"/>
      <c r="J141" s="134">
        <f>H141</f>
        <v>290000</v>
      </c>
      <c r="K141" s="134">
        <f>F141-J141</f>
        <v>0</v>
      </c>
      <c r="L141" s="371" t="s">
        <v>458</v>
      </c>
      <c r="M141" s="368"/>
    </row>
    <row r="142" spans="1:13" ht="51">
      <c r="A142" s="268">
        <v>86</v>
      </c>
      <c r="B142" s="136" t="s">
        <v>59</v>
      </c>
      <c r="C142" s="134">
        <v>108000</v>
      </c>
      <c r="D142" s="134"/>
      <c r="E142" s="134"/>
      <c r="F142" s="134">
        <v>108000</v>
      </c>
      <c r="G142" s="134">
        <v>0</v>
      </c>
      <c r="H142" s="134"/>
      <c r="I142" s="134"/>
      <c r="J142" s="111"/>
      <c r="K142" s="134">
        <f>F142</f>
        <v>108000</v>
      </c>
      <c r="L142" s="371" t="s">
        <v>458</v>
      </c>
      <c r="M142" s="374" t="s">
        <v>478</v>
      </c>
    </row>
    <row r="143" spans="1:13" ht="78.75">
      <c r="A143" s="268">
        <v>87</v>
      </c>
      <c r="B143" s="139" t="s">
        <v>60</v>
      </c>
      <c r="C143" s="134">
        <v>158400</v>
      </c>
      <c r="D143" s="134"/>
      <c r="E143" s="134"/>
      <c r="F143" s="134">
        <v>158400</v>
      </c>
      <c r="G143" s="134">
        <v>0</v>
      </c>
      <c r="H143" s="134"/>
      <c r="I143" s="134"/>
      <c r="J143" s="111"/>
      <c r="K143" s="111"/>
      <c r="L143" s="371" t="s">
        <v>460</v>
      </c>
      <c r="M143" s="368"/>
    </row>
    <row r="144" spans="1:13" ht="110.25">
      <c r="A144" s="268">
        <v>88</v>
      </c>
      <c r="B144" s="139" t="s">
        <v>61</v>
      </c>
      <c r="C144" s="134">
        <f>220982.142857143*1.12</f>
        <v>247500.00000000017</v>
      </c>
      <c r="D144" s="134"/>
      <c r="E144" s="134"/>
      <c r="F144" s="134">
        <f>C144</f>
        <v>247500.00000000017</v>
      </c>
      <c r="G144" s="134">
        <v>0</v>
      </c>
      <c r="H144" s="134"/>
      <c r="I144" s="134"/>
      <c r="J144" s="111"/>
      <c r="K144" s="111"/>
      <c r="L144" s="371" t="s">
        <v>460</v>
      </c>
      <c r="M144" s="368"/>
    </row>
    <row r="145" spans="1:13" ht="47.25">
      <c r="A145" s="268">
        <v>89</v>
      </c>
      <c r="B145" s="136" t="s">
        <v>342</v>
      </c>
      <c r="C145" s="134">
        <v>100000</v>
      </c>
      <c r="D145" s="134"/>
      <c r="E145" s="134"/>
      <c r="F145" s="134">
        <v>100000</v>
      </c>
      <c r="G145" s="134">
        <v>90000</v>
      </c>
      <c r="H145" s="134">
        <f>G145</f>
        <v>90000</v>
      </c>
      <c r="I145" s="134"/>
      <c r="J145" s="134">
        <f>H145</f>
        <v>90000</v>
      </c>
      <c r="K145" s="134">
        <f>F145-J145</f>
        <v>10000</v>
      </c>
      <c r="L145" s="371" t="s">
        <v>458</v>
      </c>
      <c r="M145" s="368"/>
    </row>
    <row r="146" spans="1:13" ht="31.5">
      <c r="A146" s="268">
        <v>90</v>
      </c>
      <c r="B146" s="136" t="s">
        <v>63</v>
      </c>
      <c r="C146" s="134">
        <f>260357.142857143*1.12</f>
        <v>291600.00000000017</v>
      </c>
      <c r="D146" s="134"/>
      <c r="E146" s="134"/>
      <c r="F146" s="134"/>
      <c r="G146" s="134"/>
      <c r="H146" s="134"/>
      <c r="I146" s="134"/>
      <c r="J146" s="134"/>
      <c r="K146" s="134"/>
      <c r="L146" s="441" t="s">
        <v>461</v>
      </c>
      <c r="M146" s="442" t="s">
        <v>479</v>
      </c>
    </row>
    <row r="147" spans="1:13" ht="31.5">
      <c r="A147" s="268">
        <v>91</v>
      </c>
      <c r="B147" s="136" t="s">
        <v>192</v>
      </c>
      <c r="C147" s="134">
        <f>390535.714285714*1.12</f>
        <v>437399.99999999977</v>
      </c>
      <c r="D147" s="134"/>
      <c r="E147" s="134"/>
      <c r="F147" s="134"/>
      <c r="G147" s="134"/>
      <c r="H147" s="134"/>
      <c r="I147" s="134"/>
      <c r="J147" s="134"/>
      <c r="K147" s="134"/>
      <c r="L147" s="413"/>
      <c r="M147" s="443"/>
    </row>
    <row r="148" spans="1:13" ht="31.5">
      <c r="A148" s="268"/>
      <c r="B148" s="136" t="s">
        <v>336</v>
      </c>
      <c r="C148" s="134"/>
      <c r="D148" s="134"/>
      <c r="E148" s="134"/>
      <c r="F148" s="134">
        <f>(260357.142857143+390535.71)*1.12</f>
        <v>728999.99520000024</v>
      </c>
      <c r="G148" s="134"/>
      <c r="H148" s="134"/>
      <c r="I148" s="134"/>
      <c r="J148" s="134">
        <v>620000</v>
      </c>
      <c r="K148" s="134">
        <f>F148-J148</f>
        <v>108999.99520000024</v>
      </c>
      <c r="L148" s="413"/>
      <c r="M148" s="443"/>
    </row>
    <row r="149" spans="1:13" ht="31.5">
      <c r="A149" s="360"/>
      <c r="B149" s="356" t="s">
        <v>384</v>
      </c>
      <c r="C149" s="357">
        <f t="shared" ref="C149:K149" si="4">SUM(C138:C148)</f>
        <v>2133440</v>
      </c>
      <c r="D149" s="357">
        <f t="shared" si="4"/>
        <v>0</v>
      </c>
      <c r="E149" s="357"/>
      <c r="F149" s="357">
        <f t="shared" si="4"/>
        <v>2133439.9952000007</v>
      </c>
      <c r="G149" s="357">
        <f t="shared" si="4"/>
        <v>480000</v>
      </c>
      <c r="H149" s="357">
        <f t="shared" si="4"/>
        <v>480000</v>
      </c>
      <c r="I149" s="357"/>
      <c r="J149" s="357">
        <f t="shared" si="4"/>
        <v>1300000</v>
      </c>
      <c r="K149" s="357">
        <f t="shared" si="4"/>
        <v>427539.99520000024</v>
      </c>
      <c r="L149" s="357"/>
      <c r="M149" s="361"/>
    </row>
    <row r="150" spans="1:13" ht="47.25">
      <c r="A150" s="275">
        <v>92</v>
      </c>
      <c r="B150" s="136" t="s">
        <v>64</v>
      </c>
      <c r="C150" s="134">
        <v>3697507.5</v>
      </c>
      <c r="D150" s="134">
        <v>-2135907.5</v>
      </c>
      <c r="E150" s="134"/>
      <c r="F150" s="134">
        <v>1561600</v>
      </c>
      <c r="G150" s="134"/>
      <c r="H150" s="134">
        <v>0</v>
      </c>
      <c r="I150" s="134"/>
      <c r="J150" s="111"/>
      <c r="K150" s="111"/>
      <c r="L150" s="372" t="s">
        <v>458</v>
      </c>
      <c r="M150" s="375"/>
    </row>
    <row r="151" spans="1:13" ht="31.5">
      <c r="A151" s="360"/>
      <c r="B151" s="356" t="s">
        <v>432</v>
      </c>
      <c r="C151" s="357">
        <f>C150</f>
        <v>3697507.5</v>
      </c>
      <c r="D151" s="358">
        <f t="shared" ref="D151:K151" si="5">D150</f>
        <v>-2135907.5</v>
      </c>
      <c r="E151" s="358"/>
      <c r="F151" s="357">
        <f t="shared" si="5"/>
        <v>1561600</v>
      </c>
      <c r="G151" s="357">
        <f t="shared" si="5"/>
        <v>0</v>
      </c>
      <c r="H151" s="357">
        <f t="shared" si="5"/>
        <v>0</v>
      </c>
      <c r="I151" s="357"/>
      <c r="J151" s="357">
        <f t="shared" si="5"/>
        <v>0</v>
      </c>
      <c r="K151" s="357">
        <f t="shared" si="5"/>
        <v>0</v>
      </c>
      <c r="L151" s="357"/>
      <c r="M151" s="361"/>
    </row>
    <row r="152" spans="1:13" ht="31.5">
      <c r="A152" s="275">
        <v>93</v>
      </c>
      <c r="B152" s="136" t="s">
        <v>234</v>
      </c>
      <c r="C152" s="134">
        <v>3499285.2</v>
      </c>
      <c r="D152" s="134">
        <v>2135907.5</v>
      </c>
      <c r="E152" s="134"/>
      <c r="F152" s="134">
        <v>5635207</v>
      </c>
      <c r="G152" s="134"/>
      <c r="H152" s="134">
        <f>1249652.31+13000+1004943+488242+202164+843451</f>
        <v>3801452.31</v>
      </c>
      <c r="I152" s="134"/>
      <c r="J152" s="111"/>
      <c r="K152" s="111"/>
      <c r="L152" s="372" t="s">
        <v>458</v>
      </c>
      <c r="M152" s="375"/>
    </row>
    <row r="153" spans="1:13" ht="47.25">
      <c r="A153" s="360"/>
      <c r="B153" s="356" t="s">
        <v>433</v>
      </c>
      <c r="C153" s="357">
        <f>C152</f>
        <v>3499285.2</v>
      </c>
      <c r="D153" s="358">
        <f t="shared" ref="D153:K153" si="6">D152</f>
        <v>2135907.5</v>
      </c>
      <c r="E153" s="358"/>
      <c r="F153" s="357">
        <f t="shared" si="6"/>
        <v>5635207</v>
      </c>
      <c r="G153" s="357">
        <f t="shared" si="6"/>
        <v>0</v>
      </c>
      <c r="H153" s="357">
        <f t="shared" si="6"/>
        <v>3801452.31</v>
      </c>
      <c r="I153" s="357"/>
      <c r="J153" s="357">
        <f t="shared" si="6"/>
        <v>0</v>
      </c>
      <c r="K153" s="357">
        <f t="shared" si="6"/>
        <v>0</v>
      </c>
      <c r="L153" s="357"/>
      <c r="M153" s="361"/>
    </row>
    <row r="154" spans="1:13" ht="63">
      <c r="A154" s="275">
        <v>94</v>
      </c>
      <c r="B154" s="119" t="s">
        <v>382</v>
      </c>
      <c r="C154" s="142">
        <v>2760000</v>
      </c>
      <c r="D154" s="142"/>
      <c r="E154" s="142">
        <f>C154</f>
        <v>2760000</v>
      </c>
      <c r="F154" s="142">
        <f>E154-600000</f>
        <v>2160000</v>
      </c>
      <c r="G154" s="142">
        <v>2160000</v>
      </c>
      <c r="H154" s="142">
        <f>2160000/9*5+200000*3</f>
        <v>1800000</v>
      </c>
      <c r="I154" s="142">
        <f>240000*4</f>
        <v>960000</v>
      </c>
      <c r="J154" s="142">
        <f>H154+I154</f>
        <v>2760000</v>
      </c>
      <c r="K154" s="142">
        <f>C154-J154</f>
        <v>0</v>
      </c>
      <c r="L154" s="355" t="s">
        <v>453</v>
      </c>
      <c r="M154" s="248"/>
    </row>
    <row r="155" spans="1:13" ht="63">
      <c r="A155" s="275">
        <v>95</v>
      </c>
      <c r="B155" s="119" t="s">
        <v>381</v>
      </c>
      <c r="C155" s="142">
        <v>2640000</v>
      </c>
      <c r="D155" s="142">
        <v>-191365</v>
      </c>
      <c r="E155" s="142">
        <f>C155+D155</f>
        <v>2448635</v>
      </c>
      <c r="F155" s="142">
        <f>C155+D155</f>
        <v>2448635</v>
      </c>
      <c r="G155" s="142"/>
      <c r="H155" s="142">
        <f>26860.47+188024.53+188023+209291.25+210000+85909.09+204000*3</f>
        <v>1520108.3399999999</v>
      </c>
      <c r="I155" s="142">
        <f>188023*4</f>
        <v>752092</v>
      </c>
      <c r="J155" s="142">
        <f>26860.47+188024.53+188023+209291.25+210000+85909.09+204000*3+188023*4</f>
        <v>2272200.34</v>
      </c>
      <c r="K155" s="142">
        <f>E155-J155</f>
        <v>176434.66000000015</v>
      </c>
      <c r="L155" s="355" t="s">
        <v>453</v>
      </c>
      <c r="M155" s="248"/>
    </row>
    <row r="156" spans="1:13" ht="47.25">
      <c r="A156" s="275">
        <v>96</v>
      </c>
      <c r="B156" s="119" t="s">
        <v>383</v>
      </c>
      <c r="C156" s="142">
        <v>2760000</v>
      </c>
      <c r="D156" s="142"/>
      <c r="E156" s="142">
        <f>C156</f>
        <v>2760000</v>
      </c>
      <c r="F156" s="142">
        <f>C156+D156</f>
        <v>2760000</v>
      </c>
      <c r="G156" s="142">
        <f>F156</f>
        <v>2760000</v>
      </c>
      <c r="H156" s="142">
        <f>1194444+203000*2+204000</f>
        <v>1804444</v>
      </c>
      <c r="I156" s="142"/>
      <c r="J156" s="142">
        <f>H156+238889*4</f>
        <v>2760000</v>
      </c>
      <c r="K156" s="142">
        <f>C156-J156</f>
        <v>0</v>
      </c>
      <c r="L156" s="355" t="s">
        <v>453</v>
      </c>
      <c r="M156" s="248"/>
    </row>
    <row r="157" spans="1:13" ht="15.75">
      <c r="A157" s="360"/>
      <c r="B157" s="356" t="s">
        <v>380</v>
      </c>
      <c r="C157" s="357">
        <f t="shared" ref="C157:K157" si="7">SUM(C154:C156)</f>
        <v>8160000</v>
      </c>
      <c r="D157" s="357">
        <f t="shared" si="7"/>
        <v>-191365</v>
      </c>
      <c r="E157" s="357"/>
      <c r="F157" s="357">
        <f t="shared" si="7"/>
        <v>7368635</v>
      </c>
      <c r="G157" s="357">
        <f t="shared" si="7"/>
        <v>4920000</v>
      </c>
      <c r="H157" s="357">
        <f t="shared" si="7"/>
        <v>5124552.34</v>
      </c>
      <c r="I157" s="357"/>
      <c r="J157" s="357">
        <f t="shared" si="7"/>
        <v>7792200.3399999999</v>
      </c>
      <c r="K157" s="357">
        <f t="shared" si="7"/>
        <v>176434.66000000015</v>
      </c>
      <c r="L157" s="357"/>
      <c r="M157" s="361"/>
    </row>
    <row r="158" spans="1:13" ht="110.25">
      <c r="A158" s="275">
        <v>97</v>
      </c>
      <c r="B158" s="119" t="s">
        <v>68</v>
      </c>
      <c r="C158" s="142">
        <v>2727943.92</v>
      </c>
      <c r="D158" s="142">
        <f>-(600000+66262.68*3)</f>
        <v>-798788.04</v>
      </c>
      <c r="E158" s="142">
        <f>C158+D158</f>
        <v>1929155.88</v>
      </c>
      <c r="F158" s="142">
        <f>E158</f>
        <v>1929155.88</v>
      </c>
      <c r="G158" s="142">
        <v>548079.84</v>
      </c>
      <c r="H158" s="142">
        <f>503276.9</f>
        <v>503276.9</v>
      </c>
      <c r="I158" s="142">
        <f>60897.76*4</f>
        <v>243591.04000000001</v>
      </c>
      <c r="J158" s="142">
        <f>H158+60897.76*4</f>
        <v>746867.94000000006</v>
      </c>
      <c r="K158" s="142">
        <f>E158-J158</f>
        <v>1182287.94</v>
      </c>
      <c r="L158" s="355" t="s">
        <v>454</v>
      </c>
      <c r="M158" s="248"/>
    </row>
    <row r="159" spans="1:13" ht="47.25">
      <c r="A159" s="275">
        <v>98</v>
      </c>
      <c r="B159" s="119" t="s">
        <v>69</v>
      </c>
      <c r="C159" s="142">
        <v>1104000</v>
      </c>
      <c r="D159" s="142"/>
      <c r="E159" s="142"/>
      <c r="F159" s="142">
        <f>C159</f>
        <v>1104000</v>
      </c>
      <c r="G159" s="142">
        <f>F159</f>
        <v>1104000</v>
      </c>
      <c r="H159" s="142">
        <v>178665.64</v>
      </c>
      <c r="I159" s="142"/>
      <c r="J159" s="142">
        <f>H159*2</f>
        <v>357331.28</v>
      </c>
      <c r="K159" s="142">
        <f>F159-J159</f>
        <v>746668.72</v>
      </c>
      <c r="L159" s="355" t="s">
        <v>453</v>
      </c>
      <c r="M159" s="248"/>
    </row>
    <row r="160" spans="1:13" ht="47.25">
      <c r="A160" s="275">
        <v>99</v>
      </c>
      <c r="B160" s="119" t="s">
        <v>70</v>
      </c>
      <c r="C160" s="142">
        <f>151748.64+456915.844285714+4956.43</f>
        <v>613620.91428571404</v>
      </c>
      <c r="D160" s="142"/>
      <c r="E160" s="142"/>
      <c r="F160" s="142">
        <f>C160</f>
        <v>613620.91428571404</v>
      </c>
      <c r="G160" s="142"/>
      <c r="H160" s="142">
        <f>94841.74+277701.94+70248.14</f>
        <v>442791.82</v>
      </c>
      <c r="I160" s="142"/>
      <c r="J160" s="142"/>
      <c r="K160" s="142"/>
      <c r="L160" s="355" t="s">
        <v>453</v>
      </c>
      <c r="M160" s="248"/>
    </row>
    <row r="161" spans="1:13" ht="47.25">
      <c r="A161" s="275">
        <v>100</v>
      </c>
      <c r="B161" s="119" t="s">
        <v>71</v>
      </c>
      <c r="C161" s="142">
        <v>147690</v>
      </c>
      <c r="D161" s="142">
        <v>-100000</v>
      </c>
      <c r="E161" s="142"/>
      <c r="F161" s="142">
        <f>C161+D161</f>
        <v>47690</v>
      </c>
      <c r="G161" s="142">
        <f>16320</f>
        <v>16320</v>
      </c>
      <c r="H161" s="142">
        <f>6480+1533.51</f>
        <v>8013.51</v>
      </c>
      <c r="I161" s="142"/>
      <c r="J161" s="142">
        <f>G161</f>
        <v>16320</v>
      </c>
      <c r="K161" s="142">
        <f>F161-J161</f>
        <v>31370</v>
      </c>
      <c r="L161" s="355" t="s">
        <v>453</v>
      </c>
      <c r="M161" s="248"/>
    </row>
    <row r="162" spans="1:13" ht="47.25">
      <c r="A162" s="275">
        <v>101</v>
      </c>
      <c r="B162" s="119" t="s">
        <v>72</v>
      </c>
      <c r="C162" s="142">
        <v>122500</v>
      </c>
      <c r="D162" s="142">
        <v>100000</v>
      </c>
      <c r="E162" s="142"/>
      <c r="F162" s="142">
        <f>C162+D162</f>
        <v>222500</v>
      </c>
      <c r="G162" s="142"/>
      <c r="H162" s="142">
        <f>105765</f>
        <v>105765</v>
      </c>
      <c r="I162" s="142"/>
      <c r="J162" s="142">
        <f>H162+100000</f>
        <v>205765</v>
      </c>
      <c r="K162" s="142">
        <f>F162-J162</f>
        <v>16735</v>
      </c>
      <c r="L162" s="355" t="s">
        <v>453</v>
      </c>
      <c r="M162" s="248"/>
    </row>
    <row r="163" spans="1:13" ht="47.25">
      <c r="A163" s="275">
        <v>102</v>
      </c>
      <c r="B163" s="119" t="s">
        <v>73</v>
      </c>
      <c r="C163" s="142">
        <v>60000</v>
      </c>
      <c r="D163" s="142"/>
      <c r="E163" s="142"/>
      <c r="F163" s="142">
        <f>C163</f>
        <v>60000</v>
      </c>
      <c r="G163" s="142">
        <v>60000</v>
      </c>
      <c r="H163" s="142">
        <f>2600+1300+4400+2600</f>
        <v>10900</v>
      </c>
      <c r="I163" s="142"/>
      <c r="J163" s="142"/>
      <c r="K163" s="142"/>
      <c r="L163" s="355" t="s">
        <v>453</v>
      </c>
      <c r="M163" s="248"/>
    </row>
    <row r="164" spans="1:13" ht="47.25">
      <c r="A164" s="275">
        <v>103</v>
      </c>
      <c r="B164" s="119" t="s">
        <v>74</v>
      </c>
      <c r="C164" s="142">
        <v>348000</v>
      </c>
      <c r="D164" s="142"/>
      <c r="E164" s="142"/>
      <c r="F164" s="142">
        <f>C164-30000</f>
        <v>318000</v>
      </c>
      <c r="G164" s="142"/>
      <c r="H164" s="142">
        <v>120759.07</v>
      </c>
      <c r="I164" s="142"/>
      <c r="J164" s="142"/>
      <c r="K164" s="142"/>
      <c r="L164" s="355" t="s">
        <v>453</v>
      </c>
      <c r="M164" s="248"/>
    </row>
    <row r="165" spans="1:13" ht="15.75">
      <c r="A165" s="360"/>
      <c r="B165" s="356" t="s">
        <v>385</v>
      </c>
      <c r="C165" s="357">
        <f>SUM(C158:C164)</f>
        <v>5123754.8342857137</v>
      </c>
      <c r="D165" s="358">
        <f>SUM(D158:D164)</f>
        <v>-798788.04</v>
      </c>
      <c r="E165" s="358"/>
      <c r="F165" s="357">
        <f>SUM(F158:F164)</f>
        <v>4294966.7942857137</v>
      </c>
      <c r="G165" s="357">
        <f>SUM(G158:G164)</f>
        <v>1728399.8399999999</v>
      </c>
      <c r="H165" s="357">
        <f>SUM(H158:H164)</f>
        <v>1370171.9400000002</v>
      </c>
      <c r="I165" s="357"/>
      <c r="J165" s="357">
        <f>SUM(J158:J164)</f>
        <v>1326284.2200000002</v>
      </c>
      <c r="K165" s="357">
        <f>SUM(K158:K164)</f>
        <v>1977061.66</v>
      </c>
      <c r="L165" s="357"/>
      <c r="M165" s="361"/>
    </row>
    <row r="166" spans="1:13" ht="47.25">
      <c r="A166" s="275">
        <v>104</v>
      </c>
      <c r="B166" s="136" t="s">
        <v>75</v>
      </c>
      <c r="C166" s="134">
        <f>6192586.08+1818504.64</f>
        <v>8011090.7199999997</v>
      </c>
      <c r="D166" s="134">
        <v>-1900000</v>
      </c>
      <c r="E166" s="134">
        <f>C166+D166</f>
        <v>6111090.7199999997</v>
      </c>
      <c r="F166" s="134">
        <f>5456331*1.12</f>
        <v>6111090.7200000007</v>
      </c>
      <c r="G166" s="134">
        <f>F166</f>
        <v>6111090.7200000007</v>
      </c>
      <c r="H166" s="134">
        <f>2502369.93+1205466.4+'[3]2015'!$AA$19</f>
        <v>3707836.33</v>
      </c>
      <c r="I166" s="134"/>
      <c r="J166" s="134"/>
      <c r="K166" s="134"/>
      <c r="L166" s="355" t="s">
        <v>453</v>
      </c>
      <c r="M166" s="256"/>
    </row>
    <row r="167" spans="1:13" ht="31.5">
      <c r="A167" s="363"/>
      <c r="B167" s="356" t="s">
        <v>434</v>
      </c>
      <c r="C167" s="357">
        <f>C166</f>
        <v>8011090.7199999997</v>
      </c>
      <c r="D167" s="357">
        <f t="shared" ref="D167:K167" si="8">D166</f>
        <v>-1900000</v>
      </c>
      <c r="E167" s="357"/>
      <c r="F167" s="357">
        <f t="shared" si="8"/>
        <v>6111090.7200000007</v>
      </c>
      <c r="G167" s="357">
        <f t="shared" si="8"/>
        <v>6111090.7200000007</v>
      </c>
      <c r="H167" s="357">
        <f t="shared" si="8"/>
        <v>3707836.33</v>
      </c>
      <c r="I167" s="357"/>
      <c r="J167" s="357">
        <f t="shared" si="8"/>
        <v>0</v>
      </c>
      <c r="K167" s="357">
        <f t="shared" si="8"/>
        <v>0</v>
      </c>
      <c r="L167" s="357"/>
      <c r="M167" s="361"/>
    </row>
    <row r="168" spans="1:13" ht="51">
      <c r="A168" s="275">
        <v>105</v>
      </c>
      <c r="B168" s="136" t="s">
        <v>76</v>
      </c>
      <c r="C168" s="134">
        <v>631700</v>
      </c>
      <c r="D168" s="134"/>
      <c r="E168" s="134"/>
      <c r="F168" s="134">
        <f>C168</f>
        <v>631700</v>
      </c>
      <c r="G168" s="134"/>
      <c r="H168" s="134">
        <v>22347.53</v>
      </c>
      <c r="I168" s="134"/>
      <c r="J168" s="134"/>
      <c r="K168" s="134"/>
      <c r="L168" s="355" t="s">
        <v>453</v>
      </c>
      <c r="M168" s="374" t="s">
        <v>480</v>
      </c>
    </row>
    <row r="169" spans="1:13" ht="47.25">
      <c r="A169" s="275">
        <v>106</v>
      </c>
      <c r="B169" s="136" t="s">
        <v>266</v>
      </c>
      <c r="C169" s="134">
        <v>99100</v>
      </c>
      <c r="D169" s="134"/>
      <c r="E169" s="134"/>
      <c r="F169" s="134">
        <f>C169</f>
        <v>99100</v>
      </c>
      <c r="G169" s="134">
        <v>0</v>
      </c>
      <c r="H169" s="134">
        <v>73732</v>
      </c>
      <c r="I169" s="134"/>
      <c r="J169" s="134"/>
      <c r="K169" s="134"/>
      <c r="L169" s="355" t="s">
        <v>453</v>
      </c>
      <c r="M169" s="256"/>
    </row>
    <row r="170" spans="1:13" ht="47.25">
      <c r="A170" s="363"/>
      <c r="B170" s="356" t="s">
        <v>435</v>
      </c>
      <c r="C170" s="357">
        <f>C168+C169</f>
        <v>730800</v>
      </c>
      <c r="D170" s="357">
        <f t="shared" ref="D170:K170" si="9">D168+D169</f>
        <v>0</v>
      </c>
      <c r="E170" s="357"/>
      <c r="F170" s="357">
        <f t="shared" si="9"/>
        <v>730800</v>
      </c>
      <c r="G170" s="357">
        <f t="shared" si="9"/>
        <v>0</v>
      </c>
      <c r="H170" s="357">
        <f t="shared" si="9"/>
        <v>96079.53</v>
      </c>
      <c r="I170" s="357"/>
      <c r="J170" s="357">
        <f t="shared" si="9"/>
        <v>0</v>
      </c>
      <c r="K170" s="357">
        <f t="shared" si="9"/>
        <v>0</v>
      </c>
      <c r="L170" s="357"/>
      <c r="M170" s="361"/>
    </row>
    <row r="171" spans="1:13" ht="31.5">
      <c r="A171" s="275">
        <v>107</v>
      </c>
      <c r="B171" s="136" t="s">
        <v>79</v>
      </c>
      <c r="C171" s="134">
        <v>2200000</v>
      </c>
      <c r="D171" s="134"/>
      <c r="E171" s="134"/>
      <c r="F171" s="134">
        <f>C171</f>
        <v>2200000</v>
      </c>
      <c r="G171" s="134"/>
      <c r="H171" s="134"/>
      <c r="I171" s="134"/>
      <c r="J171" s="134"/>
      <c r="K171" s="134"/>
      <c r="L171" s="134"/>
      <c r="M171" s="256"/>
    </row>
    <row r="172" spans="1:13" ht="31.5">
      <c r="A172" s="363"/>
      <c r="B172" s="356" t="s">
        <v>436</v>
      </c>
      <c r="C172" s="357">
        <f>C171</f>
        <v>2200000</v>
      </c>
      <c r="D172" s="357">
        <f t="shared" ref="D172:K172" si="10">D171</f>
        <v>0</v>
      </c>
      <c r="E172" s="357"/>
      <c r="F172" s="357">
        <f t="shared" si="10"/>
        <v>2200000</v>
      </c>
      <c r="G172" s="357">
        <f t="shared" si="10"/>
        <v>0</v>
      </c>
      <c r="H172" s="357">
        <f t="shared" si="10"/>
        <v>0</v>
      </c>
      <c r="I172" s="357"/>
      <c r="J172" s="357">
        <f t="shared" si="10"/>
        <v>0</v>
      </c>
      <c r="K172" s="357">
        <f t="shared" si="10"/>
        <v>0</v>
      </c>
      <c r="L172" s="357"/>
      <c r="M172" s="361"/>
    </row>
    <row r="173" spans="1:13" ht="47.25">
      <c r="A173" s="275">
        <v>108</v>
      </c>
      <c r="B173" s="138" t="s">
        <v>81</v>
      </c>
      <c r="C173" s="134">
        <v>33306700</v>
      </c>
      <c r="D173" s="134"/>
      <c r="E173" s="134"/>
      <c r="F173" s="134">
        <v>33306700</v>
      </c>
      <c r="G173" s="134"/>
      <c r="H173" s="134">
        <f>9652.08+9115469.19+9018797.71</f>
        <v>18143918.98</v>
      </c>
      <c r="I173" s="134"/>
      <c r="J173" s="134"/>
      <c r="K173" s="134"/>
      <c r="L173" s="372" t="s">
        <v>458</v>
      </c>
      <c r="M173" s="256"/>
    </row>
    <row r="174" spans="1:13" ht="31.5">
      <c r="A174" s="275">
        <v>109</v>
      </c>
      <c r="B174" s="138" t="s">
        <v>82</v>
      </c>
      <c r="C174" s="134">
        <v>2573500</v>
      </c>
      <c r="D174" s="134"/>
      <c r="E174" s="134"/>
      <c r="F174" s="134">
        <v>2573500</v>
      </c>
      <c r="G174" s="134"/>
      <c r="H174" s="134"/>
      <c r="I174" s="134"/>
      <c r="J174" s="134"/>
      <c r="K174" s="134"/>
      <c r="L174" s="372" t="s">
        <v>458</v>
      </c>
      <c r="M174" s="256"/>
    </row>
    <row r="175" spans="1:13" ht="63">
      <c r="A175" s="275">
        <v>110</v>
      </c>
      <c r="B175" s="140" t="s">
        <v>241</v>
      </c>
      <c r="C175" s="134">
        <v>127100</v>
      </c>
      <c r="D175" s="134"/>
      <c r="E175" s="134"/>
      <c r="F175" s="134">
        <v>127100</v>
      </c>
      <c r="G175" s="134"/>
      <c r="H175" s="134">
        <v>83613.34</v>
      </c>
      <c r="I175" s="134"/>
      <c r="J175" s="134"/>
      <c r="K175" s="134"/>
      <c r="L175" s="372" t="s">
        <v>458</v>
      </c>
      <c r="M175" s="256"/>
    </row>
    <row r="176" spans="1:13" ht="47.25">
      <c r="A176" s="275">
        <v>111</v>
      </c>
      <c r="B176" s="140" t="s">
        <v>242</v>
      </c>
      <c r="C176" s="134">
        <v>21060</v>
      </c>
      <c r="D176" s="134"/>
      <c r="E176" s="134"/>
      <c r="F176" s="134">
        <v>21060</v>
      </c>
      <c r="G176" s="134"/>
      <c r="H176" s="134">
        <f>4914+4914</f>
        <v>9828</v>
      </c>
      <c r="I176" s="134"/>
      <c r="J176" s="134"/>
      <c r="K176" s="134"/>
      <c r="L176" s="372" t="s">
        <v>458</v>
      </c>
      <c r="M176" s="256"/>
    </row>
    <row r="177" spans="1:13" ht="47.25">
      <c r="A177" s="275">
        <v>112</v>
      </c>
      <c r="B177" s="140" t="s">
        <v>83</v>
      </c>
      <c r="C177" s="134">
        <v>14426697.140000001</v>
      </c>
      <c r="D177" s="134"/>
      <c r="E177" s="134"/>
      <c r="F177" s="134">
        <v>14426697.140000001</v>
      </c>
      <c r="G177" s="134"/>
      <c r="H177" s="134">
        <f>6744801.64+5514261.58</f>
        <v>12259063.219999999</v>
      </c>
      <c r="I177" s="134"/>
      <c r="J177" s="134"/>
      <c r="K177" s="134"/>
      <c r="L177" s="372" t="s">
        <v>458</v>
      </c>
      <c r="M177" s="256"/>
    </row>
    <row r="178" spans="1:13" ht="31.5">
      <c r="A178" s="275">
        <v>113</v>
      </c>
      <c r="B178" s="140" t="s">
        <v>84</v>
      </c>
      <c r="C178" s="134">
        <v>660000</v>
      </c>
      <c r="D178" s="134"/>
      <c r="E178" s="134"/>
      <c r="F178" s="134">
        <v>660000</v>
      </c>
      <c r="G178" s="134"/>
      <c r="H178" s="134">
        <v>642203.38</v>
      </c>
      <c r="I178" s="134"/>
      <c r="J178" s="134"/>
      <c r="K178" s="134"/>
      <c r="L178" s="372" t="s">
        <v>458</v>
      </c>
      <c r="M178" s="256"/>
    </row>
    <row r="179" spans="1:13" ht="31.5">
      <c r="A179" s="275">
        <v>114</v>
      </c>
      <c r="B179" s="140" t="s">
        <v>85</v>
      </c>
      <c r="C179" s="134">
        <v>6676617.8799999999</v>
      </c>
      <c r="D179" s="134"/>
      <c r="E179" s="134"/>
      <c r="F179" s="134">
        <v>6676617.8799999999</v>
      </c>
      <c r="G179" s="134"/>
      <c r="H179" s="134">
        <f>302888.14+607121.66</f>
        <v>910009.8</v>
      </c>
      <c r="I179" s="134"/>
      <c r="J179" s="134"/>
      <c r="K179" s="134"/>
      <c r="L179" s="372" t="s">
        <v>458</v>
      </c>
      <c r="M179" s="256"/>
    </row>
    <row r="180" spans="1:13" ht="15.75">
      <c r="A180" s="363"/>
      <c r="B180" s="356" t="s">
        <v>387</v>
      </c>
      <c r="C180" s="357">
        <f>SUM(C173:C179)</f>
        <v>57791675.020000003</v>
      </c>
      <c r="D180" s="357">
        <f>SUM(D173:D179)</f>
        <v>0</v>
      </c>
      <c r="E180" s="357"/>
      <c r="F180" s="357">
        <f>SUM(F173:F179)</f>
        <v>57791675.020000003</v>
      </c>
      <c r="G180" s="357">
        <f>SUM(G173:G179)</f>
        <v>0</v>
      </c>
      <c r="H180" s="357">
        <f>SUM(H173:H179)</f>
        <v>32048636.719999999</v>
      </c>
      <c r="I180" s="357"/>
      <c r="J180" s="357">
        <f>SUM(J173:J179)</f>
        <v>0</v>
      </c>
      <c r="K180" s="357">
        <f>SUM(K173:K179)</f>
        <v>0</v>
      </c>
      <c r="L180" s="357"/>
      <c r="M180" s="361"/>
    </row>
    <row r="181" spans="1:13" ht="15.75">
      <c r="A181" s="275">
        <v>115</v>
      </c>
      <c r="B181" s="138" t="s">
        <v>86</v>
      </c>
      <c r="C181" s="134">
        <v>100000</v>
      </c>
      <c r="D181" s="134"/>
      <c r="E181" s="134"/>
      <c r="F181" s="134">
        <v>100000</v>
      </c>
      <c r="G181" s="134"/>
      <c r="H181" s="134">
        <v>35467</v>
      </c>
      <c r="I181" s="134"/>
      <c r="J181" s="134"/>
      <c r="K181" s="134"/>
      <c r="L181" s="134"/>
      <c r="M181" s="256"/>
    </row>
    <row r="182" spans="1:13" ht="31.5">
      <c r="A182" s="275">
        <v>116</v>
      </c>
      <c r="B182" s="123" t="s">
        <v>87</v>
      </c>
      <c r="C182" s="142">
        <v>185000</v>
      </c>
      <c r="D182" s="142"/>
      <c r="E182" s="142"/>
      <c r="F182" s="142">
        <v>185000</v>
      </c>
      <c r="G182" s="134">
        <v>166500</v>
      </c>
      <c r="H182" s="134">
        <v>67950</v>
      </c>
      <c r="I182" s="134"/>
      <c r="J182" s="134">
        <f>H182</f>
        <v>67950</v>
      </c>
      <c r="K182" s="134">
        <f>C182-J182</f>
        <v>117050</v>
      </c>
      <c r="L182" s="134"/>
      <c r="M182" s="256"/>
    </row>
    <row r="183" spans="1:13" ht="15.75">
      <c r="A183" s="275">
        <v>117</v>
      </c>
      <c r="B183" s="138" t="s">
        <v>88</v>
      </c>
      <c r="C183" s="134">
        <v>72000</v>
      </c>
      <c r="D183" s="134"/>
      <c r="E183" s="134"/>
      <c r="F183" s="134">
        <v>72000</v>
      </c>
      <c r="G183" s="134">
        <v>68000</v>
      </c>
      <c r="H183" s="134">
        <f>31280+20400</f>
        <v>51680</v>
      </c>
      <c r="I183" s="134"/>
      <c r="J183" s="134"/>
      <c r="K183" s="134"/>
      <c r="L183" s="134"/>
      <c r="M183" s="256"/>
    </row>
    <row r="184" spans="1:13" ht="31.5">
      <c r="A184" s="275">
        <v>118</v>
      </c>
      <c r="B184" s="138" t="s">
        <v>91</v>
      </c>
      <c r="C184" s="134">
        <f>205875*1.12</f>
        <v>230580.00000000003</v>
      </c>
      <c r="D184" s="134"/>
      <c r="E184" s="134"/>
      <c r="F184" s="134">
        <f>C184</f>
        <v>230580.00000000003</v>
      </c>
      <c r="G184" s="134">
        <v>0</v>
      </c>
      <c r="H184" s="134">
        <v>145389.15</v>
      </c>
      <c r="I184" s="134"/>
      <c r="J184" s="134">
        <f>H184+37619.67+19167*2</f>
        <v>221342.82</v>
      </c>
      <c r="K184" s="134">
        <f>F184-J184</f>
        <v>9237.1800000000221</v>
      </c>
      <c r="L184" s="134"/>
      <c r="M184" s="256"/>
    </row>
    <row r="185" spans="1:13" ht="63">
      <c r="A185" s="275">
        <v>119</v>
      </c>
      <c r="B185" s="123" t="s">
        <v>93</v>
      </c>
      <c r="C185" s="134">
        <v>200000</v>
      </c>
      <c r="D185" s="134"/>
      <c r="E185" s="134"/>
      <c r="F185" s="134">
        <f>C185</f>
        <v>200000</v>
      </c>
      <c r="G185" s="134">
        <v>176964.29</v>
      </c>
      <c r="H185" s="134">
        <v>94050</v>
      </c>
      <c r="I185" s="134"/>
      <c r="J185" s="134"/>
      <c r="K185" s="134"/>
      <c r="L185" s="134"/>
      <c r="M185" s="256"/>
    </row>
    <row r="186" spans="1:13" ht="31.5">
      <c r="A186" s="275">
        <v>120</v>
      </c>
      <c r="B186" s="138" t="s">
        <v>94</v>
      </c>
      <c r="C186" s="134">
        <v>5400000</v>
      </c>
      <c r="D186" s="134"/>
      <c r="E186" s="134"/>
      <c r="F186" s="134">
        <v>5400000</v>
      </c>
      <c r="G186" s="134"/>
      <c r="H186" s="134">
        <v>3600000</v>
      </c>
      <c r="I186" s="134"/>
      <c r="J186" s="134">
        <f>H186/8*12</f>
        <v>5400000</v>
      </c>
      <c r="K186" s="134"/>
      <c r="L186" s="134"/>
      <c r="M186" s="256"/>
    </row>
    <row r="187" spans="1:13" ht="31.5">
      <c r="A187" s="275">
        <v>121</v>
      </c>
      <c r="B187" s="138" t="s">
        <v>243</v>
      </c>
      <c r="C187" s="134">
        <v>198200</v>
      </c>
      <c r="D187" s="134"/>
      <c r="E187" s="134"/>
      <c r="F187" s="134">
        <v>198200</v>
      </c>
      <c r="G187" s="134"/>
      <c r="H187" s="134"/>
      <c r="I187" s="134"/>
      <c r="J187" s="134"/>
      <c r="K187" s="134"/>
      <c r="L187" s="134"/>
      <c r="M187" s="442" t="s">
        <v>481</v>
      </c>
    </row>
    <row r="188" spans="1:13" ht="31.5">
      <c r="A188" s="275">
        <v>122</v>
      </c>
      <c r="B188" s="138" t="s">
        <v>244</v>
      </c>
      <c r="C188" s="134">
        <v>198200</v>
      </c>
      <c r="D188" s="134"/>
      <c r="E188" s="134"/>
      <c r="F188" s="134">
        <v>198200</v>
      </c>
      <c r="G188" s="134"/>
      <c r="H188" s="134"/>
      <c r="I188" s="134"/>
      <c r="J188" s="134"/>
      <c r="K188" s="134"/>
      <c r="L188" s="134"/>
      <c r="M188" s="443"/>
    </row>
    <row r="189" spans="1:13" ht="31.5">
      <c r="A189" s="275">
        <v>123</v>
      </c>
      <c r="B189" s="138" t="s">
        <v>245</v>
      </c>
      <c r="C189" s="134">
        <v>198200</v>
      </c>
      <c r="D189" s="134"/>
      <c r="E189" s="134"/>
      <c r="F189" s="134">
        <v>198200</v>
      </c>
      <c r="G189" s="134"/>
      <c r="H189" s="134"/>
      <c r="I189" s="134"/>
      <c r="J189" s="134"/>
      <c r="K189" s="134"/>
      <c r="L189" s="134"/>
      <c r="M189" s="443"/>
    </row>
    <row r="190" spans="1:13" ht="15.75">
      <c r="A190" s="275">
        <v>124</v>
      </c>
      <c r="B190" s="138" t="s">
        <v>233</v>
      </c>
      <c r="C190" s="134">
        <v>153100</v>
      </c>
      <c r="D190" s="134"/>
      <c r="E190" s="134"/>
      <c r="F190" s="134">
        <v>153100</v>
      </c>
      <c r="G190" s="134"/>
      <c r="H190" s="134"/>
      <c r="I190" s="134"/>
      <c r="J190" s="134"/>
      <c r="K190" s="134"/>
      <c r="L190" s="134"/>
      <c r="M190" s="443"/>
    </row>
    <row r="191" spans="1:13" ht="31.5">
      <c r="A191" s="275">
        <v>125</v>
      </c>
      <c r="B191" s="138" t="s">
        <v>95</v>
      </c>
      <c r="C191" s="134">
        <v>97200</v>
      </c>
      <c r="D191" s="134"/>
      <c r="E191" s="134"/>
      <c r="F191" s="134">
        <v>97200</v>
      </c>
      <c r="G191" s="134"/>
      <c r="H191" s="134"/>
      <c r="I191" s="134"/>
      <c r="J191" s="134"/>
      <c r="K191" s="134"/>
      <c r="L191" s="134"/>
      <c r="M191" s="443"/>
    </row>
    <row r="192" spans="1:13" ht="15.75">
      <c r="A192" s="275">
        <v>126</v>
      </c>
      <c r="B192" s="138" t="s">
        <v>96</v>
      </c>
      <c r="C192" s="134">
        <v>4300</v>
      </c>
      <c r="D192" s="134"/>
      <c r="E192" s="134"/>
      <c r="F192" s="134">
        <v>4300</v>
      </c>
      <c r="G192" s="134"/>
      <c r="H192" s="134">
        <v>3857.13</v>
      </c>
      <c r="I192" s="134"/>
      <c r="J192" s="134"/>
      <c r="K192" s="134"/>
      <c r="L192" s="134"/>
      <c r="M192" s="256"/>
    </row>
    <row r="193" spans="1:13" ht="31.5">
      <c r="A193" s="363"/>
      <c r="B193" s="356" t="s">
        <v>388</v>
      </c>
      <c r="C193" s="357">
        <f>SUM(C181:C192)</f>
        <v>7036780</v>
      </c>
      <c r="D193" s="357">
        <f t="shared" ref="D193:K193" si="11">SUM(D181:D192)</f>
        <v>0</v>
      </c>
      <c r="E193" s="357"/>
      <c r="F193" s="357">
        <f t="shared" si="11"/>
        <v>7036780</v>
      </c>
      <c r="G193" s="357">
        <f t="shared" si="11"/>
        <v>411464.29000000004</v>
      </c>
      <c r="H193" s="357">
        <f t="shared" si="11"/>
        <v>3998393.28</v>
      </c>
      <c r="I193" s="357"/>
      <c r="J193" s="357">
        <f t="shared" si="11"/>
        <v>5689292.8200000003</v>
      </c>
      <c r="K193" s="357">
        <f t="shared" si="11"/>
        <v>126287.18000000002</v>
      </c>
      <c r="L193" s="357"/>
      <c r="M193" s="361"/>
    </row>
    <row r="194" spans="1:13" ht="31.5">
      <c r="A194" s="275">
        <v>127</v>
      </c>
      <c r="B194" s="138" t="s">
        <v>97</v>
      </c>
      <c r="C194" s="134">
        <v>161267.16</v>
      </c>
      <c r="D194" s="134"/>
      <c r="E194" s="134"/>
      <c r="F194" s="134">
        <v>161267.16</v>
      </c>
      <c r="G194" s="134">
        <v>117927.83</v>
      </c>
      <c r="H194" s="134">
        <v>66842.59</v>
      </c>
      <c r="I194" s="134"/>
      <c r="J194" s="134">
        <f>H194</f>
        <v>66842.59</v>
      </c>
      <c r="K194" s="134">
        <f>G194-J194</f>
        <v>51085.240000000005</v>
      </c>
      <c r="L194" s="134"/>
      <c r="M194" s="256"/>
    </row>
    <row r="195" spans="1:13" ht="15.75">
      <c r="A195" s="363"/>
      <c r="B195" s="356" t="s">
        <v>391</v>
      </c>
      <c r="C195" s="357">
        <f>SUM(C194)</f>
        <v>161267.16</v>
      </c>
      <c r="D195" s="357">
        <f t="shared" ref="D195:K195" si="12">SUM(D194)</f>
        <v>0</v>
      </c>
      <c r="E195" s="357"/>
      <c r="F195" s="357">
        <f t="shared" si="12"/>
        <v>161267.16</v>
      </c>
      <c r="G195" s="357">
        <f t="shared" si="12"/>
        <v>117927.83</v>
      </c>
      <c r="H195" s="357">
        <f t="shared" si="12"/>
        <v>66842.59</v>
      </c>
      <c r="I195" s="357"/>
      <c r="J195" s="357">
        <f t="shared" si="12"/>
        <v>66842.59</v>
      </c>
      <c r="K195" s="357">
        <f t="shared" si="12"/>
        <v>51085.240000000005</v>
      </c>
      <c r="L195" s="357"/>
      <c r="M195" s="361"/>
    </row>
    <row r="196" spans="1:13" ht="114.75">
      <c r="A196" s="275">
        <v>128</v>
      </c>
      <c r="B196" s="138" t="s">
        <v>156</v>
      </c>
      <c r="C196" s="134">
        <f>2427155.35714286*1.12</f>
        <v>2718414.0000000037</v>
      </c>
      <c r="D196" s="134"/>
      <c r="E196" s="134"/>
      <c r="F196" s="134">
        <f>C196</f>
        <v>2718414.0000000037</v>
      </c>
      <c r="G196" s="134">
        <v>0</v>
      </c>
      <c r="H196" s="134"/>
      <c r="I196" s="134"/>
      <c r="J196" s="134"/>
      <c r="K196" s="134"/>
      <c r="L196" s="454" t="s">
        <v>454</v>
      </c>
      <c r="M196" s="374" t="s">
        <v>482</v>
      </c>
    </row>
    <row r="197" spans="1:13" ht="15.75">
      <c r="A197" s="275">
        <v>131</v>
      </c>
      <c r="B197" s="138" t="s">
        <v>98</v>
      </c>
      <c r="C197" s="134">
        <v>109995.84</v>
      </c>
      <c r="D197" s="134"/>
      <c r="E197" s="134"/>
      <c r="F197" s="134">
        <v>109995.84</v>
      </c>
      <c r="G197" s="135">
        <v>84240</v>
      </c>
      <c r="H197" s="134">
        <f>G197</f>
        <v>84240</v>
      </c>
      <c r="I197" s="134"/>
      <c r="J197" s="134">
        <f>H197</f>
        <v>84240</v>
      </c>
      <c r="K197" s="134">
        <f>F197-J197</f>
        <v>25755.839999999997</v>
      </c>
      <c r="L197" s="413"/>
      <c r="M197" s="256"/>
    </row>
    <row r="198" spans="1:13" ht="63">
      <c r="A198" s="275">
        <v>132</v>
      </c>
      <c r="B198" s="138" t="s">
        <v>99</v>
      </c>
      <c r="C198" s="134">
        <v>298400</v>
      </c>
      <c r="D198" s="134"/>
      <c r="E198" s="134"/>
      <c r="F198" s="134">
        <f>C198</f>
        <v>298400</v>
      </c>
      <c r="G198" s="134"/>
      <c r="H198" s="134"/>
      <c r="I198" s="134"/>
      <c r="J198" s="134"/>
      <c r="K198" s="134"/>
      <c r="L198" s="413"/>
      <c r="M198" s="256"/>
    </row>
    <row r="199" spans="1:13" ht="31.5">
      <c r="A199" s="363"/>
      <c r="B199" s="356" t="s">
        <v>437</v>
      </c>
      <c r="C199" s="357">
        <f>SUM(C196:C198)</f>
        <v>3126809.8400000036</v>
      </c>
      <c r="D199" s="357">
        <f t="shared" ref="D199:K199" si="13">SUM(D196:D198)</f>
        <v>0</v>
      </c>
      <c r="E199" s="357"/>
      <c r="F199" s="357">
        <f t="shared" si="13"/>
        <v>3126809.8400000036</v>
      </c>
      <c r="G199" s="357">
        <f t="shared" si="13"/>
        <v>84240</v>
      </c>
      <c r="H199" s="357">
        <f t="shared" si="13"/>
        <v>84240</v>
      </c>
      <c r="I199" s="357"/>
      <c r="J199" s="357">
        <f t="shared" si="13"/>
        <v>84240</v>
      </c>
      <c r="K199" s="357">
        <f t="shared" si="13"/>
        <v>25755.839999999997</v>
      </c>
      <c r="L199" s="357"/>
      <c r="M199" s="361"/>
    </row>
    <row r="200" spans="1:13" ht="31.5">
      <c r="A200" s="275">
        <v>134</v>
      </c>
      <c r="B200" s="138" t="s">
        <v>100</v>
      </c>
      <c r="C200" s="134">
        <v>319690.8</v>
      </c>
      <c r="D200" s="134"/>
      <c r="E200" s="134"/>
      <c r="F200" s="134">
        <f t="shared" ref="F200:F218" si="14">C200+D200</f>
        <v>319690.8</v>
      </c>
      <c r="G200" s="141"/>
      <c r="H200" s="134"/>
      <c r="I200" s="134"/>
      <c r="J200" s="134"/>
      <c r="K200" s="134"/>
      <c r="L200" s="441" t="s">
        <v>454</v>
      </c>
      <c r="M200" s="442" t="s">
        <v>482</v>
      </c>
    </row>
    <row r="201" spans="1:13" ht="31.5">
      <c r="A201" s="275">
        <v>135</v>
      </c>
      <c r="B201" s="138" t="s">
        <v>101</v>
      </c>
      <c r="C201" s="134">
        <v>494251.2</v>
      </c>
      <c r="D201" s="134">
        <v>-494251.2</v>
      </c>
      <c r="E201" s="134"/>
      <c r="F201" s="134">
        <f t="shared" si="14"/>
        <v>0</v>
      </c>
      <c r="G201" s="141"/>
      <c r="H201" s="134"/>
      <c r="I201" s="134"/>
      <c r="J201" s="134"/>
      <c r="K201" s="134"/>
      <c r="L201" s="413"/>
      <c r="M201" s="443"/>
    </row>
    <row r="202" spans="1:13" ht="31.5">
      <c r="A202" s="275">
        <v>136</v>
      </c>
      <c r="B202" s="138" t="s">
        <v>102</v>
      </c>
      <c r="C202" s="134">
        <v>3024000</v>
      </c>
      <c r="D202" s="134">
        <v>423360</v>
      </c>
      <c r="E202" s="134"/>
      <c r="F202" s="134">
        <f t="shared" si="14"/>
        <v>3447360</v>
      </c>
      <c r="G202" s="141"/>
      <c r="H202" s="134"/>
      <c r="I202" s="134"/>
      <c r="J202" s="134"/>
      <c r="K202" s="134"/>
      <c r="L202" s="413"/>
      <c r="M202" s="443"/>
    </row>
    <row r="203" spans="1:13" ht="31.5">
      <c r="A203" s="275">
        <v>137</v>
      </c>
      <c r="B203" s="138" t="s">
        <v>103</v>
      </c>
      <c r="C203" s="134">
        <v>285120</v>
      </c>
      <c r="D203" s="134"/>
      <c r="E203" s="134"/>
      <c r="F203" s="134">
        <f t="shared" si="14"/>
        <v>285120</v>
      </c>
      <c r="G203" s="141"/>
      <c r="H203" s="134"/>
      <c r="I203" s="134"/>
      <c r="J203" s="134"/>
      <c r="K203" s="134"/>
      <c r="L203" s="413"/>
      <c r="M203" s="443"/>
    </row>
    <row r="204" spans="1:13" ht="31.5">
      <c r="A204" s="275">
        <v>138</v>
      </c>
      <c r="B204" s="138" t="s">
        <v>104</v>
      </c>
      <c r="C204" s="134">
        <v>433663.2</v>
      </c>
      <c r="D204" s="134">
        <v>-433663.2</v>
      </c>
      <c r="E204" s="134"/>
      <c r="F204" s="134">
        <f t="shared" si="14"/>
        <v>0</v>
      </c>
      <c r="G204" s="141"/>
      <c r="H204" s="134"/>
      <c r="I204" s="134"/>
      <c r="J204" s="134"/>
      <c r="K204" s="134"/>
      <c r="L204" s="413"/>
      <c r="M204" s="443"/>
    </row>
    <row r="205" spans="1:13" ht="31.5">
      <c r="A205" s="275">
        <v>139</v>
      </c>
      <c r="B205" s="138" t="s">
        <v>105</v>
      </c>
      <c r="C205" s="134">
        <v>495720</v>
      </c>
      <c r="D205" s="134"/>
      <c r="E205" s="134"/>
      <c r="F205" s="134">
        <f t="shared" si="14"/>
        <v>495720</v>
      </c>
      <c r="G205" s="141"/>
      <c r="H205" s="134"/>
      <c r="I205" s="134"/>
      <c r="J205" s="134"/>
      <c r="K205" s="134"/>
      <c r="L205" s="413"/>
      <c r="M205" s="443"/>
    </row>
    <row r="206" spans="1:13" ht="31.5">
      <c r="A206" s="275">
        <v>140</v>
      </c>
      <c r="B206" s="138" t="s">
        <v>106</v>
      </c>
      <c r="C206" s="134">
        <v>949762.8</v>
      </c>
      <c r="D206" s="134">
        <v>-949762.8</v>
      </c>
      <c r="E206" s="134"/>
      <c r="F206" s="134">
        <f t="shared" si="14"/>
        <v>0</v>
      </c>
      <c r="G206" s="141"/>
      <c r="H206" s="134"/>
      <c r="I206" s="134"/>
      <c r="J206" s="134"/>
      <c r="K206" s="134"/>
      <c r="L206" s="413"/>
      <c r="M206" s="443"/>
    </row>
    <row r="207" spans="1:13" ht="31.5">
      <c r="A207" s="275">
        <v>141</v>
      </c>
      <c r="B207" s="138" t="s">
        <v>107</v>
      </c>
      <c r="C207" s="134">
        <v>1512000</v>
      </c>
      <c r="D207" s="134">
        <v>211680</v>
      </c>
      <c r="E207" s="134"/>
      <c r="F207" s="134">
        <f t="shared" si="14"/>
        <v>1723680</v>
      </c>
      <c r="G207" s="141"/>
      <c r="H207" s="134"/>
      <c r="I207" s="134"/>
      <c r="J207" s="134"/>
      <c r="K207" s="134"/>
      <c r="L207" s="413"/>
      <c r="M207" s="443"/>
    </row>
    <row r="208" spans="1:13" ht="31.5">
      <c r="A208" s="275">
        <v>142</v>
      </c>
      <c r="B208" s="138" t="s">
        <v>108</v>
      </c>
      <c r="C208" s="134">
        <v>7128000</v>
      </c>
      <c r="D208" s="134">
        <v>997920.03</v>
      </c>
      <c r="E208" s="134"/>
      <c r="F208" s="134">
        <f t="shared" si="14"/>
        <v>8125920.0300000003</v>
      </c>
      <c r="G208" s="141"/>
      <c r="H208" s="134"/>
      <c r="I208" s="134"/>
      <c r="J208" s="134"/>
      <c r="K208" s="134"/>
      <c r="L208" s="413"/>
      <c r="M208" s="443"/>
    </row>
    <row r="209" spans="1:13" ht="31.5">
      <c r="A209" s="275">
        <v>143</v>
      </c>
      <c r="B209" s="138" t="s">
        <v>109</v>
      </c>
      <c r="C209" s="134">
        <v>378000</v>
      </c>
      <c r="D209" s="134">
        <v>37800</v>
      </c>
      <c r="E209" s="134"/>
      <c r="F209" s="134">
        <f t="shared" si="14"/>
        <v>415800</v>
      </c>
      <c r="G209" s="141"/>
      <c r="H209" s="134"/>
      <c r="I209" s="134"/>
      <c r="J209" s="134"/>
      <c r="K209" s="134"/>
      <c r="L209" s="413"/>
      <c r="M209" s="443"/>
    </row>
    <row r="210" spans="1:13" ht="31.5">
      <c r="A210" s="275">
        <v>144</v>
      </c>
      <c r="B210" s="138" t="s">
        <v>110</v>
      </c>
      <c r="C210" s="134">
        <v>81648</v>
      </c>
      <c r="D210" s="134">
        <v>3265.92</v>
      </c>
      <c r="E210" s="134"/>
      <c r="F210" s="134">
        <f t="shared" si="14"/>
        <v>84913.919999999998</v>
      </c>
      <c r="G210" s="141"/>
      <c r="H210" s="134"/>
      <c r="I210" s="134"/>
      <c r="J210" s="134"/>
      <c r="K210" s="134"/>
      <c r="L210" s="413"/>
      <c r="M210" s="443"/>
    </row>
    <row r="211" spans="1:13" ht="31.5">
      <c r="A211" s="275">
        <v>145</v>
      </c>
      <c r="B211" s="138" t="s">
        <v>111</v>
      </c>
      <c r="C211" s="134">
        <v>211140</v>
      </c>
      <c r="D211" s="134">
        <v>8445.64</v>
      </c>
      <c r="E211" s="134"/>
      <c r="F211" s="134">
        <f t="shared" si="14"/>
        <v>219585.64</v>
      </c>
      <c r="G211" s="141"/>
      <c r="H211" s="134"/>
      <c r="I211" s="134"/>
      <c r="J211" s="134"/>
      <c r="K211" s="134"/>
      <c r="L211" s="413"/>
      <c r="M211" s="443"/>
    </row>
    <row r="212" spans="1:13" ht="31.5">
      <c r="A212" s="275">
        <v>146</v>
      </c>
      <c r="B212" s="138" t="s">
        <v>112</v>
      </c>
      <c r="C212" s="134">
        <v>1518480</v>
      </c>
      <c r="D212" s="134"/>
      <c r="E212" s="134"/>
      <c r="F212" s="134">
        <f t="shared" si="14"/>
        <v>1518480</v>
      </c>
      <c r="G212" s="141"/>
      <c r="H212" s="134"/>
      <c r="I212" s="134"/>
      <c r="J212" s="134"/>
      <c r="K212" s="134"/>
      <c r="L212" s="413"/>
      <c r="M212" s="443"/>
    </row>
    <row r="213" spans="1:13" ht="31.5">
      <c r="A213" s="275">
        <v>147</v>
      </c>
      <c r="B213" s="138" t="s">
        <v>389</v>
      </c>
      <c r="C213" s="134">
        <v>668304</v>
      </c>
      <c r="D213" s="134">
        <v>373.68</v>
      </c>
      <c r="E213" s="134"/>
      <c r="F213" s="134">
        <f t="shared" si="14"/>
        <v>668677.68000000005</v>
      </c>
      <c r="G213" s="141"/>
      <c r="H213" s="134"/>
      <c r="I213" s="134"/>
      <c r="J213" s="134"/>
      <c r="K213" s="134"/>
      <c r="L213" s="413"/>
      <c r="M213" s="443"/>
    </row>
    <row r="214" spans="1:13" ht="31.5">
      <c r="A214" s="275">
        <v>148</v>
      </c>
      <c r="B214" s="138" t="s">
        <v>113</v>
      </c>
      <c r="C214" s="134">
        <v>2538000</v>
      </c>
      <c r="D214" s="134">
        <v>-0.14599999999999999</v>
      </c>
      <c r="E214" s="134"/>
      <c r="F214" s="134">
        <f t="shared" si="14"/>
        <v>2537999.8539999998</v>
      </c>
      <c r="G214" s="141"/>
      <c r="H214" s="134"/>
      <c r="I214" s="134"/>
      <c r="J214" s="134"/>
      <c r="K214" s="134"/>
      <c r="L214" s="413"/>
      <c r="M214" s="443"/>
    </row>
    <row r="215" spans="1:13" ht="63">
      <c r="A215" s="275">
        <v>149</v>
      </c>
      <c r="B215" s="138" t="s">
        <v>114</v>
      </c>
      <c r="C215" s="134">
        <v>1078920</v>
      </c>
      <c r="D215" s="134">
        <v>107891.95</v>
      </c>
      <c r="E215" s="134"/>
      <c r="F215" s="134">
        <f t="shared" si="14"/>
        <v>1186811.95</v>
      </c>
      <c r="G215" s="141"/>
      <c r="H215" s="134"/>
      <c r="I215" s="134"/>
      <c r="J215" s="134"/>
      <c r="K215" s="134"/>
      <c r="L215" s="413"/>
      <c r="M215" s="443"/>
    </row>
    <row r="216" spans="1:13" ht="47.25">
      <c r="A216" s="275">
        <v>150</v>
      </c>
      <c r="B216" s="138" t="s">
        <v>115</v>
      </c>
      <c r="C216" s="134">
        <v>869400</v>
      </c>
      <c r="D216" s="134">
        <v>86940</v>
      </c>
      <c r="E216" s="134"/>
      <c r="F216" s="134">
        <f t="shared" si="14"/>
        <v>956340</v>
      </c>
      <c r="G216" s="141"/>
      <c r="H216" s="134"/>
      <c r="I216" s="134"/>
      <c r="J216" s="134"/>
      <c r="K216" s="134"/>
      <c r="L216" s="413"/>
      <c r="M216" s="443"/>
    </row>
    <row r="217" spans="1:13" ht="15.75">
      <c r="A217" s="275">
        <v>151</v>
      </c>
      <c r="B217" s="138" t="s">
        <v>116</v>
      </c>
      <c r="C217" s="134">
        <v>50479.199999999997</v>
      </c>
      <c r="D217" s="134"/>
      <c r="E217" s="134"/>
      <c r="F217" s="134">
        <f t="shared" si="14"/>
        <v>50479.199999999997</v>
      </c>
      <c r="G217" s="141"/>
      <c r="H217" s="134"/>
      <c r="I217" s="134"/>
      <c r="J217" s="134"/>
      <c r="K217" s="134"/>
      <c r="L217" s="413"/>
      <c r="M217" s="443"/>
    </row>
    <row r="218" spans="1:13" ht="47.25">
      <c r="A218" s="275">
        <v>152</v>
      </c>
      <c r="B218" s="138" t="s">
        <v>117</v>
      </c>
      <c r="C218" s="134">
        <v>27646.92</v>
      </c>
      <c r="D218" s="134"/>
      <c r="E218" s="134"/>
      <c r="F218" s="134">
        <f t="shared" si="14"/>
        <v>27646.92</v>
      </c>
      <c r="G218" s="141"/>
      <c r="H218" s="134"/>
      <c r="I218" s="134"/>
      <c r="J218" s="134"/>
      <c r="K218" s="134"/>
      <c r="L218" s="413"/>
      <c r="M218" s="443"/>
    </row>
    <row r="219" spans="1:13" ht="15.75">
      <c r="A219" s="363"/>
      <c r="B219" s="356" t="s">
        <v>390</v>
      </c>
      <c r="C219" s="357">
        <f>SUM(C200:C218)</f>
        <v>22064226.120000001</v>
      </c>
      <c r="D219" s="357">
        <f>SUM(D200:D218)</f>
        <v>-0.12600000017846469</v>
      </c>
      <c r="E219" s="357"/>
      <c r="F219" s="357">
        <f>SUM(F200:F218)</f>
        <v>22064225.993999999</v>
      </c>
      <c r="G219" s="357">
        <f>SUM(G200:G218)</f>
        <v>0</v>
      </c>
      <c r="H219" s="357">
        <f>SUM(H200:H218)</f>
        <v>0</v>
      </c>
      <c r="I219" s="357"/>
      <c r="J219" s="357">
        <f>SUM(J200:J218)</f>
        <v>0</v>
      </c>
      <c r="K219" s="357">
        <f>SUM(K200:K218)</f>
        <v>0</v>
      </c>
      <c r="L219" s="357"/>
      <c r="M219" s="361"/>
    </row>
    <row r="220" spans="1:13" ht="15.75">
      <c r="A220" s="275">
        <v>155</v>
      </c>
      <c r="B220" s="138" t="s">
        <v>159</v>
      </c>
      <c r="C220" s="134">
        <v>685420</v>
      </c>
      <c r="D220" s="134">
        <v>60279.94</v>
      </c>
      <c r="E220" s="134"/>
      <c r="F220" s="134">
        <f t="shared" ref="F220:F225" si="15">C220+D220</f>
        <v>745699.94</v>
      </c>
      <c r="G220" s="134"/>
      <c r="H220" s="134"/>
      <c r="I220" s="134"/>
      <c r="J220" s="134"/>
      <c r="K220" s="134"/>
      <c r="L220" s="441" t="s">
        <v>453</v>
      </c>
      <c r="M220" s="442" t="s">
        <v>483</v>
      </c>
    </row>
    <row r="221" spans="1:13" ht="15.75">
      <c r="A221" s="275">
        <v>156</v>
      </c>
      <c r="B221" s="138" t="s">
        <v>119</v>
      </c>
      <c r="C221" s="134">
        <v>765714</v>
      </c>
      <c r="D221" s="134">
        <v>563963.97</v>
      </c>
      <c r="E221" s="134"/>
      <c r="F221" s="134">
        <f t="shared" si="15"/>
        <v>1329677.97</v>
      </c>
      <c r="G221" s="134"/>
      <c r="H221" s="134"/>
      <c r="I221" s="134"/>
      <c r="J221" s="134"/>
      <c r="K221" s="134"/>
      <c r="L221" s="413"/>
      <c r="M221" s="443"/>
    </row>
    <row r="222" spans="1:13" ht="15.75">
      <c r="A222" s="275">
        <v>157</v>
      </c>
      <c r="B222" s="138" t="s">
        <v>120</v>
      </c>
      <c r="C222" s="134">
        <v>1024650</v>
      </c>
      <c r="D222" s="134">
        <v>-185130.03</v>
      </c>
      <c r="E222" s="134"/>
      <c r="F222" s="134">
        <f t="shared" si="15"/>
        <v>839519.97</v>
      </c>
      <c r="G222" s="134"/>
      <c r="H222" s="134"/>
      <c r="I222" s="134"/>
      <c r="J222" s="134"/>
      <c r="K222" s="134"/>
      <c r="L222" s="413"/>
      <c r="M222" s="443"/>
    </row>
    <row r="223" spans="1:13" ht="15.75">
      <c r="A223" s="275">
        <v>158</v>
      </c>
      <c r="B223" s="138" t="s">
        <v>121</v>
      </c>
      <c r="C223" s="134">
        <v>713700</v>
      </c>
      <c r="D223" s="134">
        <v>-713699.95</v>
      </c>
      <c r="E223" s="134"/>
      <c r="F223" s="134">
        <f t="shared" si="15"/>
        <v>5.0000000046566129E-2</v>
      </c>
      <c r="G223" s="134"/>
      <c r="H223" s="134"/>
      <c r="I223" s="134"/>
      <c r="J223" s="134"/>
      <c r="K223" s="134"/>
      <c r="L223" s="413"/>
      <c r="M223" s="443"/>
    </row>
    <row r="224" spans="1:13" ht="15.75">
      <c r="A224" s="275">
        <v>159</v>
      </c>
      <c r="B224" s="138" t="s">
        <v>193</v>
      </c>
      <c r="C224" s="134">
        <v>1123800</v>
      </c>
      <c r="D224" s="134">
        <v>483020.6</v>
      </c>
      <c r="E224" s="134"/>
      <c r="F224" s="134">
        <f t="shared" si="15"/>
        <v>1606820.6</v>
      </c>
      <c r="G224" s="134"/>
      <c r="H224" s="134"/>
      <c r="I224" s="134"/>
      <c r="J224" s="134"/>
      <c r="K224" s="134"/>
      <c r="L224" s="413"/>
      <c r="M224" s="443"/>
    </row>
    <row r="225" spans="1:13" ht="15.75">
      <c r="A225" s="275">
        <v>160</v>
      </c>
      <c r="B225" s="138" t="s">
        <v>122</v>
      </c>
      <c r="C225" s="134">
        <v>1708564</v>
      </c>
      <c r="D225" s="134">
        <v>1072655.98</v>
      </c>
      <c r="E225" s="134"/>
      <c r="F225" s="134">
        <f t="shared" si="15"/>
        <v>2781219.98</v>
      </c>
      <c r="G225" s="134"/>
      <c r="H225" s="134"/>
      <c r="I225" s="134"/>
      <c r="J225" s="134"/>
      <c r="K225" s="134"/>
      <c r="L225" s="413"/>
      <c r="M225" s="443"/>
    </row>
    <row r="226" spans="1:13" ht="31.5">
      <c r="A226" s="275">
        <v>161</v>
      </c>
      <c r="B226" s="138" t="s">
        <v>123</v>
      </c>
      <c r="C226" s="134">
        <v>776412</v>
      </c>
      <c r="D226" s="134"/>
      <c r="E226" s="134"/>
      <c r="F226" s="134">
        <f>C226</f>
        <v>776412</v>
      </c>
      <c r="G226" s="134"/>
      <c r="H226" s="134"/>
      <c r="I226" s="134"/>
      <c r="J226" s="134"/>
      <c r="K226" s="134"/>
      <c r="L226" s="413"/>
      <c r="M226" s="443"/>
    </row>
    <row r="227" spans="1:13" ht="15.75">
      <c r="A227" s="275">
        <v>162</v>
      </c>
      <c r="B227" s="138" t="s">
        <v>124</v>
      </c>
      <c r="C227" s="134">
        <v>254976</v>
      </c>
      <c r="D227" s="134"/>
      <c r="E227" s="134"/>
      <c r="F227" s="134">
        <f>C227</f>
        <v>254976</v>
      </c>
      <c r="G227" s="134">
        <v>204620</v>
      </c>
      <c r="H227" s="134">
        <f>G227</f>
        <v>204620</v>
      </c>
      <c r="I227" s="134"/>
      <c r="J227" s="134">
        <f>H227</f>
        <v>204620</v>
      </c>
      <c r="K227" s="134">
        <f>F227-J227</f>
        <v>50356</v>
      </c>
      <c r="L227" s="413"/>
      <c r="M227" s="256"/>
    </row>
    <row r="228" spans="1:13" ht="15.75">
      <c r="A228" s="275">
        <v>163</v>
      </c>
      <c r="B228" s="138" t="s">
        <v>125</v>
      </c>
      <c r="C228" s="134">
        <v>500000</v>
      </c>
      <c r="D228" s="134"/>
      <c r="E228" s="134"/>
      <c r="F228" s="134">
        <f>C228</f>
        <v>500000</v>
      </c>
      <c r="G228" s="134"/>
      <c r="H228" s="134"/>
      <c r="I228" s="134"/>
      <c r="J228" s="134"/>
      <c r="K228" s="134"/>
      <c r="L228" s="413"/>
      <c r="M228" s="256"/>
    </row>
    <row r="229" spans="1:13" ht="15.75">
      <c r="A229" s="275">
        <v>164</v>
      </c>
      <c r="B229" s="138" t="s">
        <v>126</v>
      </c>
      <c r="C229" s="134">
        <v>1089725</v>
      </c>
      <c r="D229" s="134">
        <v>-1089725</v>
      </c>
      <c r="E229" s="134"/>
      <c r="F229" s="134">
        <f>C229+D229</f>
        <v>0</v>
      </c>
      <c r="G229" s="134"/>
      <c r="H229" s="134"/>
      <c r="I229" s="134"/>
      <c r="J229" s="134"/>
      <c r="K229" s="134"/>
      <c r="L229" s="413"/>
      <c r="M229" s="256"/>
    </row>
    <row r="230" spans="1:13" ht="15.75">
      <c r="A230" s="360"/>
      <c r="B230" s="356" t="s">
        <v>392</v>
      </c>
      <c r="C230" s="357">
        <f>SUM(C220:C229)</f>
        <v>8642961</v>
      </c>
      <c r="D230" s="357">
        <f>SUM(D220:D229)</f>
        <v>191365.50999999978</v>
      </c>
      <c r="E230" s="357"/>
      <c r="F230" s="357">
        <f>SUM(F220:F229)</f>
        <v>8834326.5099999998</v>
      </c>
      <c r="G230" s="357">
        <f>SUM(G220:G229)</f>
        <v>204620</v>
      </c>
      <c r="H230" s="357">
        <f>SUM(H220:H229)</f>
        <v>204620</v>
      </c>
      <c r="I230" s="357"/>
      <c r="J230" s="357">
        <f>SUM(J220:J229)</f>
        <v>204620</v>
      </c>
      <c r="K230" s="357">
        <f>SUM(K220:K229)</f>
        <v>50356</v>
      </c>
      <c r="L230" s="357"/>
      <c r="M230" s="361"/>
    </row>
    <row r="231" spans="1:13" ht="16.5" thickBot="1">
      <c r="A231" s="364"/>
      <c r="B231" s="365" t="s">
        <v>441</v>
      </c>
      <c r="C231" s="366">
        <f>C6+C9+C30+C38+C137+C149+C151+C153+C157+C165+C167+C170+C172+C180+C193+C195</f>
        <v>187273245.01428571</v>
      </c>
      <c r="D231" s="366">
        <f>D6+D9+D30+D38+D137+D149+D151+D153+D157+D165+D167+D170+D172+D180+D193+D195</f>
        <v>-3319874.3399999989</v>
      </c>
      <c r="E231" s="366"/>
      <c r="F231" s="366">
        <f>F6+F9+F30+F38+F137+F149+F151+F153+F157+F165+F167+F170+F172+F180+F193+F195</f>
        <v>174060921.9094857</v>
      </c>
      <c r="G231" s="366"/>
      <c r="H231" s="366"/>
      <c r="I231" s="366"/>
      <c r="J231" s="366"/>
      <c r="K231" s="366"/>
      <c r="L231" s="366"/>
      <c r="M231" s="367"/>
    </row>
    <row r="232" spans="1:13" ht="15.75">
      <c r="A232" s="351"/>
      <c r="B232" s="352"/>
      <c r="C232" s="353"/>
      <c r="D232" s="353"/>
      <c r="E232" s="353"/>
      <c r="F232" s="353"/>
      <c r="G232" s="353"/>
      <c r="H232" s="353"/>
      <c r="I232" s="353"/>
      <c r="J232" s="353"/>
      <c r="K232" s="353"/>
    </row>
    <row r="233" spans="1:13" ht="15.75">
      <c r="A233" s="8"/>
      <c r="B233" s="292" t="s">
        <v>338</v>
      </c>
      <c r="C233" s="289"/>
      <c r="D233" s="289"/>
      <c r="E233" s="289"/>
      <c r="F233" s="289"/>
      <c r="G233" s="289"/>
      <c r="H233" s="289"/>
      <c r="I233" s="289"/>
      <c r="J233" s="8"/>
      <c r="K233" s="8"/>
    </row>
    <row r="234" spans="1:13" ht="15.75">
      <c r="A234" s="291" t="s">
        <v>1</v>
      </c>
      <c r="B234" s="291" t="s">
        <v>438</v>
      </c>
      <c r="C234" s="291" t="s">
        <v>444</v>
      </c>
    </row>
    <row r="235" spans="1:13" ht="15.75">
      <c r="A235" s="290">
        <v>1</v>
      </c>
      <c r="B235" s="286" t="s">
        <v>446</v>
      </c>
      <c r="C235" s="267">
        <v>30126283.25</v>
      </c>
      <c r="F235" s="64" t="s">
        <v>439</v>
      </c>
      <c r="G235" s="114">
        <f>657077909.38-434603946</f>
        <v>222473963.38</v>
      </c>
      <c r="H235" s="288"/>
      <c r="I235" s="288"/>
      <c r="J235" s="114"/>
    </row>
    <row r="236" spans="1:13" ht="15.75">
      <c r="A236" s="290">
        <v>2</v>
      </c>
      <c r="B236" s="286" t="s">
        <v>447</v>
      </c>
      <c r="C236" s="267">
        <v>2775200</v>
      </c>
    </row>
    <row r="237" spans="1:13" ht="31.5">
      <c r="A237" s="290">
        <v>3</v>
      </c>
      <c r="B237" s="286" t="s">
        <v>448</v>
      </c>
      <c r="C237" s="267">
        <v>298000</v>
      </c>
      <c r="F237" s="288" t="s">
        <v>445</v>
      </c>
      <c r="G237" s="114">
        <f>G235-C240</f>
        <v>187273258.78999999</v>
      </c>
    </row>
    <row r="238" spans="1:13" ht="15.75">
      <c r="A238" s="290">
        <v>4</v>
      </c>
      <c r="B238" s="286" t="s">
        <v>449</v>
      </c>
      <c r="C238" s="267">
        <v>96105.600000000006</v>
      </c>
      <c r="G238" s="133"/>
    </row>
    <row r="239" spans="1:13" ht="15.75">
      <c r="A239" s="290">
        <v>5</v>
      </c>
      <c r="B239" s="286" t="s">
        <v>450</v>
      </c>
      <c r="C239" s="267">
        <v>1905115.74</v>
      </c>
      <c r="F239" s="289"/>
    </row>
    <row r="240" spans="1:13" ht="15.75">
      <c r="A240" s="286"/>
      <c r="B240" s="285" t="s">
        <v>440</v>
      </c>
      <c r="C240" s="287">
        <f>SUM(C235:C239)</f>
        <v>35200704.590000004</v>
      </c>
      <c r="D240" s="280"/>
      <c r="E240" s="280"/>
    </row>
    <row r="242" spans="2:3">
      <c r="B242" s="125"/>
      <c r="C242" s="133"/>
    </row>
    <row r="243" spans="2:3">
      <c r="B243" s="125"/>
    </row>
  </sheetData>
  <mergeCells count="13">
    <mergeCell ref="M187:M191"/>
    <mergeCell ref="L196:L198"/>
    <mergeCell ref="L200:L218"/>
    <mergeCell ref="M200:M218"/>
    <mergeCell ref="L220:L229"/>
    <mergeCell ref="M220:M226"/>
    <mergeCell ref="L146:L148"/>
    <mergeCell ref="M146:M148"/>
    <mergeCell ref="A1:K1"/>
    <mergeCell ref="L39:L65"/>
    <mergeCell ref="M39:M65"/>
    <mergeCell ref="L66:L136"/>
    <mergeCell ref="M66:M136"/>
  </mergeCells>
  <dataValidations count="7">
    <dataValidation allowBlank="1" showInputMessage="1" showErrorMessage="1" prompt="Введите дополнительную характеристику на государственном языке" sqref="B225:B229 B222:B223 B67:C69 D224:E226 D221:E222"/>
    <dataValidation allowBlank="1" showInputMessage="1" showErrorMessage="1" prompt="Характеристика на государственном языке заполняется автоматически в соответствии с КТРУ" sqref="B77:C77 B85:C85 B79:C79"/>
    <dataValidation allowBlank="1" showInputMessage="1" showErrorMessage="1" prompt="Наименование на государственном языке заполняется автоматически в соответствии с КТРУ" sqref="B57:C66 B72:C75 B88:B94 B39:C54 C88:C136 D39:E94"/>
    <dataValidation allowBlank="1" showInputMessage="1" showErrorMessage="1" prompt="Наименование на русском языке заполняется автоматически в соответствии с КТРУ" sqref="B78:C78"/>
    <dataValidation allowBlank="1" showInputMessage="1" showErrorMessage="1" prompt="Введите дополнительную характеристику на русском языке" sqref="B80:C84 B86:C87 B70:C71 B224 B76:C76 B169 B220:B221 B196:C197 B173:E179 C171:E171 B194:E194 B181:E192 D196:E196 D220:E220 D223:E223 C168:E168"/>
    <dataValidation type="decimal" operator="greaterThan" allowBlank="1" showInputMessage="1" showErrorMessage="1" prompt="Введите прогнозируемую сумму на второй год трехлетнего периода" sqref="G70:G72 G86 G75:G81 G182 G197 G194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F185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3. План ПЗ</vt:lpstr>
      <vt:lpstr>все коррек</vt:lpstr>
      <vt:lpstr>внутри статьи</vt:lpstr>
      <vt:lpstr>из одной  статьи в другую </vt:lpstr>
      <vt:lpstr>испол.</vt:lpstr>
      <vt:lpstr>с владельцами нов</vt:lpstr>
      <vt:lpstr>Лист1</vt:lpstr>
      <vt:lpstr>испол.!Заголовки_для_печати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Толеш Райгул Саликызы</dc:creator>
  <cp:lastModifiedBy>Lisa</cp:lastModifiedBy>
  <cp:lastPrinted>2016-02-10T09:14:23Z</cp:lastPrinted>
  <dcterms:created xsi:type="dcterms:W3CDTF">2014-12-22T07:52:35Z</dcterms:created>
  <dcterms:modified xsi:type="dcterms:W3CDTF">2016-06-13T04:07:26Z</dcterms:modified>
</cp:coreProperties>
</file>