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800" windowWidth="10515" windowHeight="1170" tabRatio="945" firstSheet="1" activeTab="1"/>
  </bookViews>
  <sheets>
    <sheet name="Лист1" sheetId="15" state="hidden" r:id="rId1"/>
    <sheet name="для размещ на сайте" sheetId="51" r:id="rId2"/>
  </sheets>
  <externalReferences>
    <externalReference r:id="rId3"/>
    <externalReference r:id="rId4"/>
  </externalReferences>
  <definedNames>
    <definedName name="АБП">'[1]Служебный ФКРБ'!$A$2:$A$136</definedName>
    <definedName name="ВидПредмета">'[1]Вид предмета'!$A$1:$A$3</definedName>
    <definedName name="_xlnm.Print_Titles" localSheetId="1">'для размещ на сайте'!$6:$8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кк">[2]Месяцы!$A$1:$A$13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45621"/>
</workbook>
</file>

<file path=xl/calcChain.xml><?xml version="1.0" encoding="utf-8"?>
<calcChain xmlns="http://schemas.openxmlformats.org/spreadsheetml/2006/main">
  <c r="I133" i="51" l="1"/>
  <c r="J133" i="51" s="1"/>
  <c r="I132" i="51"/>
  <c r="J132" i="51" s="1"/>
  <c r="I131" i="51"/>
  <c r="J131" i="51" s="1"/>
  <c r="I130" i="51"/>
  <c r="J130" i="51" s="1"/>
  <c r="I129" i="51"/>
  <c r="J129" i="51" s="1"/>
  <c r="I128" i="51"/>
  <c r="J128" i="51" s="1"/>
  <c r="I127" i="51"/>
  <c r="J127" i="51" s="1"/>
  <c r="I126" i="51"/>
  <c r="J126" i="51" s="1"/>
  <c r="I125" i="51"/>
  <c r="J125" i="51" s="1"/>
  <c r="I124" i="51"/>
  <c r="J124" i="51" s="1"/>
  <c r="I123" i="51"/>
  <c r="J123" i="51" s="1"/>
  <c r="I122" i="51"/>
  <c r="J122" i="51" s="1"/>
  <c r="I121" i="51"/>
  <c r="J121" i="51" s="1"/>
  <c r="I120" i="51"/>
  <c r="J120" i="51" s="1"/>
  <c r="I119" i="51"/>
  <c r="J119" i="51" s="1"/>
  <c r="I118" i="51"/>
  <c r="J118" i="51" s="1"/>
  <c r="I117" i="51"/>
  <c r="J117" i="51" s="1"/>
  <c r="I116" i="51"/>
  <c r="J116" i="51" s="1"/>
  <c r="I115" i="51"/>
  <c r="J115" i="51" s="1"/>
  <c r="I114" i="51"/>
  <c r="J114" i="51" s="1"/>
  <c r="I109" i="51"/>
  <c r="J109" i="51" s="1"/>
  <c r="I108" i="51"/>
  <c r="J108" i="51" s="1"/>
  <c r="I113" i="51"/>
  <c r="J113" i="51" s="1"/>
  <c r="I107" i="51"/>
  <c r="J107" i="51" s="1"/>
  <c r="I112" i="51"/>
  <c r="J112" i="51" s="1"/>
  <c r="I111" i="51"/>
  <c r="J111" i="51" s="1"/>
  <c r="I110" i="51"/>
  <c r="J110" i="51" s="1"/>
  <c r="I106" i="51"/>
  <c r="J106" i="51" s="1"/>
  <c r="I105" i="51"/>
  <c r="J105" i="51" s="1"/>
  <c r="I104" i="51"/>
  <c r="J104" i="51" s="1"/>
  <c r="I103" i="51"/>
  <c r="J103" i="51" s="1"/>
  <c r="I102" i="51"/>
  <c r="J102" i="51" s="1"/>
  <c r="I101" i="51"/>
  <c r="J101" i="51" s="1"/>
  <c r="I100" i="51"/>
  <c r="J100" i="51" s="1"/>
  <c r="I99" i="51"/>
  <c r="J99" i="51" s="1"/>
  <c r="I98" i="51"/>
  <c r="J98" i="51" s="1"/>
  <c r="I97" i="51"/>
  <c r="J97" i="51" s="1"/>
  <c r="I96" i="51"/>
  <c r="J96" i="51" s="1"/>
  <c r="I95" i="51"/>
  <c r="J95" i="51" s="1"/>
  <c r="I94" i="51"/>
  <c r="J94" i="51" s="1"/>
  <c r="I93" i="51"/>
  <c r="J93" i="51" s="1"/>
  <c r="I92" i="51"/>
  <c r="J92" i="51" s="1"/>
  <c r="I91" i="51"/>
  <c r="J91" i="51" s="1"/>
  <c r="I90" i="51"/>
  <c r="J90" i="51" s="1"/>
  <c r="I89" i="51"/>
  <c r="J89" i="51" s="1"/>
  <c r="I88" i="51"/>
  <c r="J88" i="51" s="1"/>
  <c r="I87" i="51"/>
  <c r="J87" i="51" s="1"/>
  <c r="I86" i="51"/>
  <c r="J86" i="51" s="1"/>
  <c r="I85" i="51"/>
  <c r="J85" i="51" s="1"/>
  <c r="I84" i="51"/>
  <c r="J84" i="51" s="1"/>
  <c r="I83" i="51"/>
  <c r="J83" i="51" s="1"/>
  <c r="I82" i="51"/>
  <c r="J82" i="51" s="1"/>
  <c r="I81" i="51"/>
  <c r="J81" i="51" s="1"/>
  <c r="I80" i="51"/>
  <c r="J80" i="51" s="1"/>
  <c r="I79" i="51"/>
  <c r="J79" i="51" s="1"/>
  <c r="I78" i="51"/>
  <c r="J78" i="51" s="1"/>
  <c r="I77" i="51"/>
  <c r="J77" i="51" s="1"/>
  <c r="I76" i="51"/>
  <c r="J76" i="51" s="1"/>
  <c r="I75" i="51"/>
  <c r="J75" i="51" s="1"/>
  <c r="I74" i="51"/>
  <c r="J74" i="51" s="1"/>
  <c r="I73" i="51"/>
  <c r="J73" i="51" s="1"/>
  <c r="I72" i="51"/>
  <c r="J72" i="51" s="1"/>
  <c r="I71" i="51"/>
  <c r="J71" i="51" s="1"/>
  <c r="I70" i="51"/>
  <c r="J70" i="51" s="1"/>
  <c r="I69" i="51"/>
  <c r="J69" i="51" s="1"/>
  <c r="I68" i="51"/>
  <c r="J68" i="51" s="1"/>
  <c r="I67" i="51"/>
  <c r="J67" i="51" s="1"/>
  <c r="I66" i="51"/>
  <c r="J66" i="51" s="1"/>
  <c r="I65" i="51"/>
  <c r="J65" i="51" s="1"/>
  <c r="I64" i="51"/>
  <c r="J64" i="51" s="1"/>
  <c r="I63" i="51"/>
  <c r="J63" i="51" s="1"/>
  <c r="I62" i="51"/>
  <c r="J62" i="51" s="1"/>
  <c r="I61" i="51"/>
  <c r="J61" i="51" s="1"/>
  <c r="I60" i="51"/>
  <c r="J60" i="51" s="1"/>
  <c r="I59" i="51"/>
  <c r="J59" i="51" s="1"/>
  <c r="I58" i="51"/>
  <c r="J58" i="51" s="1"/>
  <c r="I57" i="51"/>
  <c r="J57" i="51" s="1"/>
  <c r="I56" i="51"/>
  <c r="J56" i="51" s="1"/>
  <c r="I55" i="51"/>
  <c r="J55" i="51" s="1"/>
  <c r="I54" i="51"/>
  <c r="J54" i="51" s="1"/>
  <c r="I53" i="51"/>
  <c r="J53" i="51" s="1"/>
  <c r="I52" i="51"/>
  <c r="J52" i="51" s="1"/>
  <c r="I51" i="51"/>
  <c r="J51" i="51" s="1"/>
  <c r="I50" i="51"/>
  <c r="J50" i="51" s="1"/>
  <c r="I49" i="51"/>
  <c r="J49" i="51" s="1"/>
  <c r="I48" i="51"/>
  <c r="J48" i="51" s="1"/>
  <c r="I47" i="51"/>
  <c r="J47" i="51" s="1"/>
  <c r="I46" i="51"/>
  <c r="J46" i="51" s="1"/>
  <c r="I45" i="51"/>
  <c r="J45" i="51" s="1"/>
  <c r="I44" i="51"/>
  <c r="J44" i="51" s="1"/>
  <c r="I43" i="51"/>
  <c r="J43" i="51" s="1"/>
  <c r="I42" i="51"/>
  <c r="J42" i="51" s="1"/>
  <c r="I41" i="51"/>
  <c r="J41" i="51" s="1"/>
  <c r="I40" i="51"/>
  <c r="J40" i="51" s="1"/>
  <c r="I39" i="51"/>
  <c r="J39" i="51" s="1"/>
  <c r="I38" i="51"/>
  <c r="J38" i="51" s="1"/>
  <c r="I37" i="51"/>
  <c r="J37" i="51" s="1"/>
  <c r="I36" i="51"/>
  <c r="J36" i="51" s="1"/>
  <c r="I35" i="51"/>
  <c r="J35" i="51" s="1"/>
  <c r="I34" i="51"/>
  <c r="J34" i="51" s="1"/>
  <c r="I33" i="51"/>
  <c r="J33" i="51" s="1"/>
  <c r="I32" i="51"/>
  <c r="J32" i="51" s="1"/>
  <c r="I31" i="51"/>
  <c r="J31" i="51" s="1"/>
  <c r="I30" i="51"/>
  <c r="J30" i="51" s="1"/>
  <c r="I29" i="51"/>
  <c r="J29" i="51" s="1"/>
  <c r="I28" i="51"/>
  <c r="J28" i="51" s="1"/>
  <c r="I27" i="51"/>
  <c r="J27" i="51" s="1"/>
  <c r="I26" i="51"/>
  <c r="J26" i="51" s="1"/>
  <c r="I25" i="51"/>
  <c r="J25" i="51" s="1"/>
  <c r="I24" i="51"/>
  <c r="J24" i="51" s="1"/>
  <c r="I23" i="51"/>
  <c r="J23" i="51" s="1"/>
  <c r="I22" i="51"/>
  <c r="J22" i="51" s="1"/>
  <c r="I21" i="51"/>
  <c r="J21" i="51" s="1"/>
  <c r="I20" i="51"/>
  <c r="J20" i="51" s="1"/>
  <c r="I19" i="51"/>
  <c r="J19" i="51" s="1"/>
  <c r="I18" i="51"/>
  <c r="J18" i="51" s="1"/>
  <c r="I17" i="51"/>
  <c r="J17" i="51" s="1"/>
  <c r="I16" i="51"/>
  <c r="J16" i="51" s="1"/>
  <c r="I15" i="51"/>
  <c r="J15" i="51" s="1"/>
  <c r="I14" i="51"/>
  <c r="J14" i="51" s="1"/>
  <c r="I13" i="51"/>
  <c r="J13" i="51" s="1"/>
  <c r="I12" i="51"/>
  <c r="J12" i="51" s="1"/>
  <c r="J11" i="51"/>
  <c r="I10" i="51"/>
  <c r="J10" i="51" s="1"/>
  <c r="I9" i="51"/>
  <c r="J9" i="51" s="1"/>
  <c r="K34" i="15" l="1"/>
  <c r="W34" i="15" s="1"/>
  <c r="X34" i="15" s="1"/>
  <c r="K33" i="15"/>
  <c r="W33" i="15" s="1"/>
  <c r="X33" i="15" s="1"/>
  <c r="K32" i="15"/>
  <c r="W32" i="15" s="1"/>
  <c r="X32" i="15" s="1"/>
  <c r="K31" i="15"/>
  <c r="W31" i="15" s="1"/>
  <c r="X31" i="15" s="1"/>
  <c r="W30" i="15"/>
  <c r="X30" i="15" s="1"/>
  <c r="W29" i="15"/>
  <c r="X29" i="15" s="1"/>
  <c r="X28" i="15"/>
  <c r="U27" i="15"/>
  <c r="X27" i="15" s="1"/>
  <c r="X26" i="15"/>
  <c r="X25" i="15"/>
  <c r="L24" i="15"/>
  <c r="K23" i="15"/>
  <c r="L23" i="15" s="1"/>
  <c r="X23" i="15" s="1"/>
  <c r="K22" i="15"/>
  <c r="L22" i="15" s="1"/>
  <c r="AA22" i="15" s="1"/>
  <c r="L21" i="15"/>
  <c r="X21" i="15" s="1"/>
  <c r="K20" i="15"/>
  <c r="L20" i="15" s="1"/>
  <c r="X20" i="15" s="1"/>
  <c r="K19" i="15"/>
  <c r="L19" i="15" s="1"/>
  <c r="X19" i="15" s="1"/>
  <c r="K18" i="15"/>
  <c r="L18" i="15" s="1"/>
  <c r="X18" i="15" s="1"/>
  <c r="Q17" i="15"/>
  <c r="K17" i="15"/>
  <c r="L17" i="15" s="1"/>
  <c r="K16" i="15"/>
  <c r="L16" i="15" s="1"/>
  <c r="X16" i="15" s="1"/>
  <c r="K15" i="15"/>
  <c r="L15" i="15" s="1"/>
  <c r="Q14" i="15"/>
  <c r="K14" i="15"/>
  <c r="L14" i="15" s="1"/>
  <c r="X22" i="15" l="1"/>
  <c r="X14" i="15"/>
  <c r="X17" i="15"/>
  <c r="Z21" i="15"/>
  <c r="AA21" i="15" s="1"/>
  <c r="X35" i="15" l="1"/>
</calcChain>
</file>

<file path=xl/sharedStrings.xml><?xml version="1.0" encoding="utf-8"?>
<sst xmlns="http://schemas.openxmlformats.org/spreadsheetml/2006/main" count="1434" uniqueCount="385">
  <si>
    <t>АО "Казахстанский фонд гарантирования депозитов"</t>
  </si>
  <si>
    <t>№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</si>
  <si>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</si>
  <si>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</si>
  <si>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</si>
  <si>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</si>
  <si>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</si>
  <si>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</si>
  <si>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</si>
  <si>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</si>
  <si>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</si>
  <si>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</si>
  <si>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 xml:space="preserve">Жазатайым жағдайдан жұмысшыны міндетті сақтандыру </t>
  </si>
  <si>
    <t>Обязательное страхование работника от несчастных случаев</t>
  </si>
  <si>
    <t>Одна услуга</t>
  </si>
  <si>
    <t>751410000</t>
  </si>
  <si>
    <t>Жұмысшыларды ерікті медициналық сақтандыру</t>
  </si>
  <si>
    <t>Добровольное медицинское страхование работников</t>
  </si>
  <si>
    <t>Ремонт компьютеров, принтеров, сканеров, факсимильного и копировального аппарата</t>
  </si>
  <si>
    <t>Размещение рекламных объявлений в журналах и изданиях периодических, печатных</t>
  </si>
  <si>
    <t>Ресмилық республикалық және региондық мерзімдік баспасөзде басылымдарыда мақалаларды және ақпараттық хабарламаларды дайындау және жайғау</t>
  </si>
  <si>
    <t>Подготовка и размещение статей и информационных сообщений в официальных республиканских и региональных периодических печатных изданиях</t>
  </si>
  <si>
    <t>Товар</t>
  </si>
  <si>
    <t>Штука</t>
  </si>
  <si>
    <t>Материалы  печатные, не включенные в другие группировки</t>
  </si>
  <si>
    <t>"Құттықтау ашық хат және конверт" жинағын жасау</t>
  </si>
  <si>
    <t>Изготовление комплектов "Поздравительная открытка и конверт"</t>
  </si>
  <si>
    <t xml:space="preserve">Жылдық есеп кітапшасы </t>
  </si>
  <si>
    <t>Брошюра "Годовой отчет"</t>
  </si>
  <si>
    <t>Услуги по разработке интернет-сайта</t>
  </si>
  <si>
    <t>www.kdif.kz интернет сайтты дамыту бойынша қызымет көрсету</t>
  </si>
  <si>
    <t>04 Апрель</t>
  </si>
  <si>
    <t>06 Июнь</t>
  </si>
  <si>
    <t>Услуги и работы различные прочие, не включенные в другие группировки</t>
  </si>
  <si>
    <t>Аренда легкового автомобиля (для руководителя) с водителем</t>
  </si>
  <si>
    <t>Мобильді байланыс операторның  қызметі</t>
  </si>
  <si>
    <t>Услуги оператора мобильной связи</t>
  </si>
  <si>
    <t>Общедоступные услуги почтовой связи</t>
  </si>
  <si>
    <t>Почтовые курьерские услуги</t>
  </si>
  <si>
    <t>ФАСТИ қызметі</t>
  </si>
  <si>
    <t>Услуги ФАСТИ</t>
  </si>
  <si>
    <t>Жалғас қызметпен тұруға болмайтын бөлмелерді шаруашылық жалдау</t>
  </si>
  <si>
    <t>Хозяйственная аренда нежилых помещений с сопутствующими услугами</t>
  </si>
  <si>
    <t xml:space="preserve">(Сыртқы аудит) аудиторлық қызмет көрсетуі </t>
  </si>
  <si>
    <t>Аудиторские услуги (внешний аудит)</t>
  </si>
  <si>
    <t>05 Май</t>
  </si>
  <si>
    <t xml:space="preserve">Екі жақты визиткалар </t>
  </si>
  <si>
    <t>Визитки двусторонние</t>
  </si>
  <si>
    <t>10 Октябрь</t>
  </si>
  <si>
    <t>Қаржылық және басқадай құжаттарды орыс тілінен қазақ тіліне жазбаша аудару</t>
  </si>
  <si>
    <t>Письменный перевод финансовых и иных  документов с русского на казахский язык</t>
  </si>
  <si>
    <t xml:space="preserve">Мерзімді басылымдарға жазылу  </t>
  </si>
  <si>
    <t>Подписка на периодические издания</t>
  </si>
  <si>
    <t>03 Март</t>
  </si>
  <si>
    <t>Көлемі 19  литр  ішетін су</t>
  </si>
  <si>
    <t xml:space="preserve">Желiм - қарындаш </t>
  </si>
  <si>
    <t xml:space="preserve">Председатель </t>
  </si>
  <si>
    <t xml:space="preserve">Заместитель Председателя  </t>
  </si>
  <si>
    <t xml:space="preserve">                                                                                                                       </t>
  </si>
  <si>
    <t>Директор юридического департамента</t>
  </si>
  <si>
    <t>Начальник   АХО</t>
  </si>
  <si>
    <t xml:space="preserve">                                                                                 </t>
  </si>
  <si>
    <t xml:space="preserve">                                                                               </t>
  </si>
  <si>
    <t>991240000414</t>
  </si>
  <si>
    <t>Тындыбаев М.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</si>
  <si>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</si>
  <si>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</si>
  <si>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 и услуг на государственном языке</t>
  </si>
  <si>
    <t>Характеристика (описание) товаров, работ и услуг на русском языке</t>
  </si>
  <si>
    <t xml:space="preserve">Единица измерения 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</si>
  <si>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</si>
  <si>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</si>
  <si>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Конкурс</t>
  </si>
  <si>
    <t>"Қазақстанның депозиттерге кепілдік беру қоры" АҚ</t>
  </si>
  <si>
    <t>Когулов Б.Б.</t>
  </si>
  <si>
    <t>Абжанов К.К.</t>
  </si>
  <si>
    <t xml:space="preserve">Заместитель Председателя </t>
  </si>
  <si>
    <t>Даулетбердиев О.А.</t>
  </si>
  <si>
    <t>Сахариев А.Б.</t>
  </si>
  <si>
    <t>Доненбаева Э.А.</t>
  </si>
  <si>
    <t>Досумов Б.</t>
  </si>
  <si>
    <t>Абдраманова М.</t>
  </si>
  <si>
    <t>Утверждено приказом</t>
  </si>
  <si>
    <t>Согласовано:</t>
  </si>
  <si>
    <t>Зажим 25 мм (12 шт.)</t>
  </si>
  <si>
    <t>Зажим 32 мм (12 шт.)</t>
  </si>
  <si>
    <t>Зажим 51 мм (12 шт.)</t>
  </si>
  <si>
    <t xml:space="preserve">Штука </t>
  </si>
  <si>
    <t xml:space="preserve">Услуги на проведение исследования по изучению уровня осведомленности населения о системе гарантирования депозитов  </t>
  </si>
  <si>
    <t>Амирбекова Э.М.</t>
  </si>
  <si>
    <t>План закупок товаров, работ и услуг на 2016 год</t>
  </si>
  <si>
    <t xml:space="preserve">2016 г.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</si>
  <si>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 по разработке интернет-сайта www.kdif.kz
</t>
  </si>
  <si>
    <t>Стойки для рекламных материалов</t>
  </si>
  <si>
    <t>Флаг настольный</t>
  </si>
  <si>
    <t>Үстелге қоятын жалау</t>
  </si>
  <si>
    <t>Жарнамалық материалдар үшін тіреулер</t>
  </si>
  <si>
    <t>Баспасөз қабырғасы</t>
  </si>
  <si>
    <t>Пресс-стена</t>
  </si>
  <si>
    <t>Организация мероприятий для СМИ (по итогам работы за год)</t>
  </si>
  <si>
    <t>Мониторинг СМИ и соц.сетей</t>
  </si>
  <si>
    <t>Разработка портала депозитной базы</t>
  </si>
  <si>
    <t>Депозиттерге кепілдік беру жүйесі туралы халықтық хабардарлығын зерттеу туралы қызметі</t>
  </si>
  <si>
    <t>БАҚ үшін іс-шаралар ұйымдастыру</t>
  </si>
  <si>
    <t>БАҚ және әлеуметтік желілер мониторингі</t>
  </si>
  <si>
    <t>Депозиттік базаның порталын әзірлеу</t>
  </si>
  <si>
    <t>Антистеплер</t>
  </si>
  <si>
    <t>Қысқыш 25 мм (12 дана)</t>
  </si>
  <si>
    <t>Қысқыш 32 мм (12 дана)</t>
  </si>
  <si>
    <t>Қысқыш 51 мм (12 дана)</t>
  </si>
  <si>
    <t>Небольшая книга, без твердого переплёта</t>
  </si>
  <si>
    <t>Доступ к сети интернет (по выделенному  волоконно-оптическому каналу, без учета трафика, безлимитный пропускной способностью порта не менее 16 Мбит/с)</t>
  </si>
  <si>
    <t xml:space="preserve">Интернет торына кіруге мүмкіндік  (бөлінген оптика талшықты канал, трафикті есептеусіз, лимитcіз  порттың өткізу мүмкіндігі  16 Мбит/с кем емес) </t>
  </si>
  <si>
    <t xml:space="preserve">И.о.Главного бухгалтера  </t>
  </si>
  <si>
    <t>Загорский И.С.</t>
  </si>
  <si>
    <t>Сумма с учетом корректировок</t>
  </si>
  <si>
    <t>Запрос ценовых предложений без размещения объявления</t>
  </si>
  <si>
    <t>№___ от __ ___________ 2016 года</t>
  </si>
  <si>
    <t>Наименование заказчика (организатора закупок)</t>
  </si>
  <si>
    <t>17</t>
  </si>
  <si>
    <t>АО "КФГД"</t>
  </si>
  <si>
    <t>Организация мероприятий для СМИ (по итогам работы за год) 3 пресс-конф.</t>
  </si>
  <si>
    <t>Ақпараттық промо-өнім- триплет</t>
  </si>
  <si>
    <t>Информационная промо-продукция - триплет</t>
  </si>
  <si>
    <t>Создание субтитров к информационному видеоролику Фонда</t>
  </si>
  <si>
    <t>Из одного источника путем заключения договора</t>
  </si>
  <si>
    <t>Сумма заключенного договора</t>
  </si>
  <si>
    <t>Экономия (+), перерасход (-)</t>
  </si>
  <si>
    <t>приказ №34 от 19.04.16</t>
  </si>
  <si>
    <t>приказ №28 от 31.03.16</t>
  </si>
  <si>
    <t>приказ №22 от 14.03.16</t>
  </si>
  <si>
    <t>приказ №36 от 27.04.16</t>
  </si>
  <si>
    <t>приказ №37 от 28.04.16</t>
  </si>
  <si>
    <t>751410002</t>
  </si>
  <si>
    <t>751410003</t>
  </si>
  <si>
    <t xml:space="preserve">Жылдық есеп кітапшасының дизайнын  жасау </t>
  </si>
  <si>
    <t>Разработка дизайна  годового отчета</t>
  </si>
  <si>
    <t>Жылдық есеп кітапшасының тиражын  жасап шығару</t>
  </si>
  <si>
    <t>Производство тиража годового отчета</t>
  </si>
  <si>
    <t>751410004</t>
  </si>
  <si>
    <t>Услуги, связанные с производством кинофильмов, видеофильмов и фильмов вспомогательные прочие, не включенные в другие гр.</t>
  </si>
  <si>
    <t>Создание аудио и видео-брендблока АО "КФГД"</t>
  </si>
  <si>
    <t>"ҚДКҚ" АҚ аудио және видео-брендблогын жасау</t>
  </si>
  <si>
    <t>Ручка с логотипом Фонда</t>
  </si>
  <si>
    <t>Қордың логотипімен қалам</t>
  </si>
  <si>
    <t>Блокнот с логотипом Фонда</t>
  </si>
  <si>
    <t>Қордың логотипімен қойын дәптер</t>
  </si>
  <si>
    <t>Вывеска с логотипом Фонда</t>
  </si>
  <si>
    <t>Қордың логотипімен маңдайша</t>
  </si>
  <si>
    <t>«Папка для документов с логотипом Фонда»</t>
  </si>
  <si>
    <t>Қордың логотипімен құжаттарға арналған қалта</t>
  </si>
  <si>
    <t>Папка для документов с логотипом Фонда</t>
  </si>
  <si>
    <t>«Флаг с логотипом Фонда»</t>
  </si>
  <si>
    <t>Қордың логотипімен жалау</t>
  </si>
  <si>
    <t>Флаг с логотипом Фонда</t>
  </si>
  <si>
    <t>«Рекламные конструкции с логотипом Фонда»</t>
  </si>
  <si>
    <t>Қордың логотипімен жарнама құрылыстары</t>
  </si>
  <si>
    <t>Рекламные конструкции с логотипом Фонда</t>
  </si>
  <si>
    <t>07 июль</t>
  </si>
  <si>
    <t>Запрос ценовых предложений с размещениям объявления</t>
  </si>
  <si>
    <t>Аренда легкового автомобиля с водителем (для хозяйственных нужд)</t>
  </si>
  <si>
    <t xml:space="preserve">бумага для заметок 76*127 (100л.) </t>
  </si>
  <si>
    <t>Ежедневник А5 датированный</t>
  </si>
  <si>
    <t>Книга учета</t>
  </si>
  <si>
    <t>Один источник путем заключения договора</t>
  </si>
  <si>
    <t>Страхование жизни</t>
  </si>
  <si>
    <t>Өмірді сақтандыру</t>
  </si>
  <si>
    <t>Ксерокстер, принтерлер, компютерлер, сканерлер, факсимильді және көшірмелерді жөндеу</t>
  </si>
  <si>
    <t>Телеарнаға орналастыру</t>
  </si>
  <si>
    <t>Размещение на телевидении</t>
  </si>
  <si>
    <t>Техническое сопровождение и совершенствование ИС "БАТА"</t>
  </si>
  <si>
    <t>Сопровождение ПО 1С: Бухгалтерия 8.2</t>
  </si>
  <si>
    <t>Техническое обслуживание персонального компьютера</t>
  </si>
  <si>
    <t>Техническая поддержка Basic Support/Subscription Vmware vSphere 6 Standard for 1 processor for 1 year (VS6-STD-G-SSS-C)</t>
  </si>
  <si>
    <t>Техническая поддержка Basic Support/Subscription Vmware vCenter Server 6 Standard for vSphere for 1 year (VСS6-STD-G-SSS-C)</t>
  </si>
  <si>
    <t xml:space="preserve"> Basic Support/Subscription Vmware vSphere 6 Standard for 1 processor for 1 year (VS6-STD-G-SSS-C) техникалық қолдау</t>
  </si>
  <si>
    <t xml:space="preserve"> Basic Support/Subscription Vmware vCenter Server 6 Standard for vSphere for 1 year (VСS6-STD-G-SSS-C) техникалық қолдау</t>
  </si>
  <si>
    <t>Бухгалтерский учет в соответствии  с МСФО</t>
  </si>
  <si>
    <t>ХҚЕС-на сәйкес бухгалтерлік есеп</t>
  </si>
  <si>
    <t>Семинар по налогам (изменения в НК)</t>
  </si>
  <si>
    <t>Салық бойынша семинар (СҚ өзгеруі)</t>
  </si>
  <si>
    <t>Управление ATC до 100 абонентов</t>
  </si>
  <si>
    <t>Настройка и конфигурирование телефонных аппаратов</t>
  </si>
  <si>
    <t>ВОЛС (волоконно-оптическая линия связи), система передачи данных</t>
  </si>
  <si>
    <t xml:space="preserve">Доменное имя и хостинг </t>
  </si>
  <si>
    <t xml:space="preserve">Домендік атау және хостинг </t>
  </si>
  <si>
    <t>Корпоративные IP</t>
  </si>
  <si>
    <t xml:space="preserve">Сувенир на национальную тематику </t>
  </si>
  <si>
    <t>Ұлттық тақырыптар бойынша базарлық</t>
  </si>
  <si>
    <t xml:space="preserve">Скрепки мет.25мм/100шт </t>
  </si>
  <si>
    <t>один источник путем заключения договора</t>
  </si>
  <si>
    <t>Запрос ценовых предложений без размещения объявления (п.п.12, п.251 Правил приобретения товаров, работ и услуг НБРК)</t>
  </si>
  <si>
    <t>Жеңіл автокөлікті жүргізушімен жалға алу (шаруашылық қажеттіліктерге арналған)</t>
  </si>
  <si>
    <t>Жеңіл автокөлікті жалға алу (басшы үшін) жүргізушісімен</t>
  </si>
  <si>
    <t>Орнату және конфигурациялау телефон аппараттарының</t>
  </si>
  <si>
    <t>ТОБЖ (талшықты-оптикалық байланыс желісі), деректерді беру жүйесі</t>
  </si>
  <si>
    <t>Корпоративтік IP</t>
  </si>
  <si>
    <t>Пайдалануға Business Trunk</t>
  </si>
  <si>
    <t>Пошталық курьерлік қызметтер</t>
  </si>
  <si>
    <t>№___ от __ ________________ года</t>
  </si>
  <si>
    <t>Сроки поставки товаров, выполнения работ и оказания услуг</t>
  </si>
  <si>
    <t>I-IV кварталы</t>
  </si>
  <si>
    <t>III-IV кварталы</t>
  </si>
  <si>
    <t>II-IV кварталы</t>
  </si>
  <si>
    <t>II-III кварталы</t>
  </si>
  <si>
    <t>IV квартал</t>
  </si>
  <si>
    <t>I квартал</t>
  </si>
  <si>
    <t>III квартал</t>
  </si>
  <si>
    <t>II квартал</t>
  </si>
  <si>
    <t>Тастенова Ш.</t>
  </si>
  <si>
    <t xml:space="preserve">"Жылдық есеп" кітапшасы </t>
  </si>
  <si>
    <t>"БАТА" АЖ техникалық сүйемелдеу және жетілдіру</t>
  </si>
  <si>
    <t>1 С:-Бухгалтерия 8.2 БЖ сүйемелдеу</t>
  </si>
  <si>
    <t xml:space="preserve">100-ге дейін абоненттердің  ATC басқармасы </t>
  </si>
  <si>
    <t>Жалпыға қол жетімді почта байланысының қызметті</t>
  </si>
  <si>
    <t>Пользование Business Trunk и номеров Business Trunk</t>
  </si>
  <si>
    <t>Айна</t>
  </si>
  <si>
    <t>Зеркало</t>
  </si>
  <si>
    <t>План закупок товаров, работ и услуг на 2018 год</t>
  </si>
  <si>
    <t>Календари настольные</t>
  </si>
  <si>
    <t xml:space="preserve">Онлайн мониторинг СМИ </t>
  </si>
  <si>
    <t xml:space="preserve">БАҚ онлайн талдамалы шолу </t>
  </si>
  <si>
    <t>Размещение на радио</t>
  </si>
  <si>
    <t xml:space="preserve"> "SalT Payout" техникалық қызмет көрсетілуі </t>
  </si>
  <si>
    <t>Visual Studio Enterprise Subscription (MSDN) SA (MS VSEntSubMSDN ALNG SA OLP NL</t>
  </si>
  <si>
    <t>Windows Server - User CAL SA (MS WinSvrCAL SNGL SA OLP NL UsrCAL)</t>
  </si>
  <si>
    <t>MS ExchgStdCAL 2016 SNGL OLP NL</t>
  </si>
  <si>
    <t>Трудочасы инженера по обслуживанию ИТ-инфраструктуры</t>
  </si>
  <si>
    <t xml:space="preserve">бумага для заметок 12*45 (125л.) </t>
  </si>
  <si>
    <t xml:space="preserve">бумага для заметок 76*76 (50л.) </t>
  </si>
  <si>
    <t xml:space="preserve">Бумага с клеевым краем 3*38*51 </t>
  </si>
  <si>
    <t>Дыракол металлический</t>
  </si>
  <si>
    <t>Зажим 19 мм (12 шт.)</t>
  </si>
  <si>
    <t>Карандаш простой с рез.</t>
  </si>
  <si>
    <t xml:space="preserve">Клей - карандаш  </t>
  </si>
  <si>
    <t>Книга входящей корреспонденции</t>
  </si>
  <si>
    <t xml:space="preserve">Конверт 160*230 бел.  </t>
  </si>
  <si>
    <t>Корректор (замазка)</t>
  </si>
  <si>
    <t>Лента клейкая 12*33 м</t>
  </si>
  <si>
    <t>Лоток вертикальный</t>
  </si>
  <si>
    <t>Маркеры текстовые (разноцветные)</t>
  </si>
  <si>
    <t>Нож канцелярский</t>
  </si>
  <si>
    <t xml:space="preserve">Ножницы </t>
  </si>
  <si>
    <t>Регистр 5 см</t>
  </si>
  <si>
    <t>Регистр 7 см</t>
  </si>
  <si>
    <t xml:space="preserve">Ручка гелевая  </t>
  </si>
  <si>
    <t xml:space="preserve">Скобы №24/6, 26/6  </t>
  </si>
  <si>
    <t>Скобы для степлера №23/13</t>
  </si>
  <si>
    <t xml:space="preserve">Точилка </t>
  </si>
  <si>
    <t xml:space="preserve">Жазуға арналған қағаз 76*127 (100 б.) </t>
  </si>
  <si>
    <t xml:space="preserve">Жазуға арналған қағаз 12*45 (125 б.) </t>
  </si>
  <si>
    <t xml:space="preserve">Жазуға арналған қағаз 76*76 (50 б.) </t>
  </si>
  <si>
    <t xml:space="preserve">Қағаз желімді шетімен 3*38*51 </t>
  </si>
  <si>
    <t>Тескіш металлдан</t>
  </si>
  <si>
    <t>А5 күнделік</t>
  </si>
  <si>
    <t>Қысқыш 19 мм (12 дана)</t>
  </si>
  <si>
    <t>Қарындаш қарапайым рез.</t>
  </si>
  <si>
    <t>Есеп кітабы</t>
  </si>
  <si>
    <t>Кіріс хат-хабарлар кітабы</t>
  </si>
  <si>
    <t>Хат қалта 160*230 ақ.</t>
  </si>
  <si>
    <t>Корректор (сылақтау)</t>
  </si>
  <si>
    <t>Жабысқақ лентасы 12*33 м</t>
  </si>
  <si>
    <t>Тік лоток</t>
  </si>
  <si>
    <t>Мәтіндік маркерлер (әз түрлі)</t>
  </si>
  <si>
    <t>Кеңселік  пышақ</t>
  </si>
  <si>
    <t>Қайшы</t>
  </si>
  <si>
    <t>Гельді қалам</t>
  </si>
  <si>
    <t xml:space="preserve">Қапсырма шегелер №24/6, 26/6  </t>
  </si>
  <si>
    <t>Қапсырма шегелер степлерге арналған №23/13</t>
  </si>
  <si>
    <t>Қыстырғыш мет. 25мм/100 дана</t>
  </si>
  <si>
    <t>Степлер металлический №24/6</t>
  </si>
  <si>
    <t>Степлер металдан №24/6</t>
  </si>
  <si>
    <t>Ұштағыш</t>
  </si>
  <si>
    <t>Cartridge HP/CE505/Laser/black</t>
  </si>
  <si>
    <t>CF214F 14F Standard black Print Laser jet cartridge for laser Jet 700M712</t>
  </si>
  <si>
    <t>Print cartridge Xerox/Ph5335/Laser/black</t>
  </si>
  <si>
    <t>Картридж KyoceraTK170 оригинал</t>
  </si>
  <si>
    <t>Картридж KyoceraTK170  түпнұсқасы</t>
  </si>
  <si>
    <t>Бумага офисная А3</t>
  </si>
  <si>
    <t xml:space="preserve">Фирменные бланки </t>
  </si>
  <si>
    <t>Офис қағазы А3</t>
  </si>
  <si>
    <t>Фирмалық бланкілер</t>
  </si>
  <si>
    <t xml:space="preserve">Земля для цветов </t>
  </si>
  <si>
    <t xml:space="preserve">Чайник </t>
  </si>
  <si>
    <t xml:space="preserve">Диспенсер </t>
  </si>
  <si>
    <t>Стаканы одноразовые</t>
  </si>
  <si>
    <t>Батарейка ААА</t>
  </si>
  <si>
    <t>Батарейка АА</t>
  </si>
  <si>
    <t>Шәйнек</t>
  </si>
  <si>
    <t>Бір рет қолданылатын стақандар</t>
  </si>
  <si>
    <t xml:space="preserve">Картридж HP CF283-Black, 1500pages, HP
LaserjatPro MFP M125,MFP M127, M201, MFP M225
</t>
  </si>
  <si>
    <t>HP CF214X Black Print LaserJet Cartridge for LaserJet 700 M712/MFP M725, up to 17500 pages</t>
  </si>
  <si>
    <t>HP LaserJet 656X, оригинальный лазерный картридж увеличенной емкости, черный (CF460X)</t>
  </si>
  <si>
    <t>HP LaserJet 656X, оригинальный лазерный картридж увеличенной емкости, голубой (CF461X)</t>
  </si>
  <si>
    <t>HP LaserJet 656X, оригинальный лазерный картридж увеличенной емкости, желтый (CF462X)</t>
  </si>
  <si>
    <t>HP LaserJet 656X, оригинальный лазерный картридж увеличенной емкости, пурпурный (CF463X)</t>
  </si>
  <si>
    <t>HP LaserJet 37X, Оригинальный лазерный картридж HP увеличенной емкости, Черный(CF237X)</t>
  </si>
  <si>
    <t>Пломбы наклейки ТИП-П для пломбирования компьютерного оборудования</t>
  </si>
  <si>
    <t>Бумага офисная А4</t>
  </si>
  <si>
    <t>Офис қағазы А4</t>
  </si>
  <si>
    <t>Бланки «Свидетельства банков-участников»</t>
  </si>
  <si>
    <t>Производство аудиороликов</t>
  </si>
  <si>
    <t>Аудиороликтер өндірісі</t>
  </si>
  <si>
    <t>Обслуживание юридической базы  "ИС Параграф" на 10 пользователей</t>
  </si>
  <si>
    <t>Техническое  сопровождение  "SalT Payout"</t>
  </si>
  <si>
    <t>Повышение квалификации профессионального бухгалтера</t>
  </si>
  <si>
    <t>Операционные риски компании</t>
  </si>
  <si>
    <t>Обучение  по 1С Склад "Учет ТМЗ на складе"</t>
  </si>
  <si>
    <t>HF422S Основы ITIL V3 для управления IT-услугами</t>
  </si>
  <si>
    <t>Обслуживание абонентского оборудования ВКС</t>
  </si>
  <si>
    <t>Годовое обслуживание серверного приложения ВКС</t>
  </si>
  <si>
    <t>Установка и администрирование автоответчика</t>
  </si>
  <si>
    <t>Услуги оценки</t>
  </si>
  <si>
    <t>Электронный документооборот</t>
  </si>
  <si>
    <t>"SQL Server 2016 EE" лицензия</t>
  </si>
  <si>
    <t>"SharePoint Server 2016" лицензия</t>
  </si>
  <si>
    <t>"Microsoft Server 2016" лицензия</t>
  </si>
  <si>
    <t>Акбаева Б.М.</t>
  </si>
  <si>
    <t xml:space="preserve">Главный бухгалтер </t>
  </si>
  <si>
    <t>Пичитаева А.А.</t>
  </si>
  <si>
    <t>Нурханов А.Т.</t>
  </si>
  <si>
    <t>Стол үстілік  күнтізбелері</t>
  </si>
  <si>
    <t xml:space="preserve">Радиоға орналастыру </t>
  </si>
  <si>
    <t>Ресмилік республикалық және аймақтық мерзімдік баспасөз басылымдарында мақалаларды және ақпараттық хабарламаларды дайындау және орналастыру</t>
  </si>
  <si>
    <t>10 қолданушыға арналған «Параграф АЖ»  қамтамасыз ету қызметі</t>
  </si>
  <si>
    <t>Дербес компьютерлерге техникалық қызмет көрсету</t>
  </si>
  <si>
    <t>Cartridge HP/CE505/Laser/black картриджы</t>
  </si>
  <si>
    <t>CF214F 14F Standard black Print Laser jet cartridge for laser Jet 700M711 картриджы</t>
  </si>
  <si>
    <t>Гүлдерге арналған  жер</t>
  </si>
  <si>
    <t>Вода питьевая объем 19 л.</t>
  </si>
  <si>
    <t xml:space="preserve">Электронды құжатайналымы </t>
  </si>
  <si>
    <t>Бағалау қызметі</t>
  </si>
  <si>
    <t>«Қатсыушы банк куәлігі»  Бланктері</t>
  </si>
  <si>
    <t xml:space="preserve">Кәсіби бухгалтердің кәсіби дамуы көтеру </t>
  </si>
  <si>
    <t>Компанияның операциялық тәуекелдері</t>
  </si>
  <si>
    <t xml:space="preserve">1С Қоймасы «қоймада ТМЗ есепке алу» оқыту </t>
  </si>
  <si>
    <t>Автожауап беру құрылғысын орнату және басқару</t>
  </si>
  <si>
    <t>"SQL Server 2016 EE" лицензиясы</t>
  </si>
  <si>
    <t>"SharePoint Server 2016" лицензиясы</t>
  </si>
  <si>
    <t>"Microsoft Server 2016" лицензиясы</t>
  </si>
  <si>
    <t>Абоненттік жабдықтың ВКС қызмет көрсету</t>
  </si>
  <si>
    <t>Cерверлік қосымшалар ВКС ;ылдық қызмет көрсету</t>
  </si>
  <si>
    <t xml:space="preserve"> ITIL V3 басқару үшін IT-қызметтерін негіздері</t>
  </si>
  <si>
    <t>Сыйымдылығы ұлғайтылған бірегей лазерлік картридж  HP LaserJet 656X,  қара  (CF460X)</t>
  </si>
  <si>
    <t>Сыйымдылығы ұлғайтылған бірегей лазерлік картридж  HP LaserJet 656X,  көгілдір  (CF461X)</t>
  </si>
  <si>
    <t>Сыйымдылығы ұлғайтылған бірегей лазерлік картридж  HP LaserJet 656X,  сары  (CF462X)</t>
  </si>
  <si>
    <t>Сыйымдылығы ұлғайтылған бірегей лазерлік картридж  HP LaserJet 656X,  күлгін  (CF463X)</t>
  </si>
  <si>
    <t>Сыйымдылығы ұлғайтылған бірегей лазерлік картридж HP LaserJet 37X,  қара (CF237X)</t>
  </si>
  <si>
    <t>I-II кварталы</t>
  </si>
  <si>
    <t>АТ-инфрақұрылымын  қызмет көрсету инженердің еңбек сағаты</t>
  </si>
  <si>
    <t>Жапсырма пломбалар  ТҮРІ-П пломбалауға арналған компьютерлік жабдықтарды</t>
  </si>
  <si>
    <t>Размещение рекламы в социальных сетях и в интернете</t>
  </si>
  <si>
    <t>Поисковая оптимизация в системах Google, Яндекс</t>
  </si>
  <si>
    <t>Размещение информационных материалов в онлайн-изданиях</t>
  </si>
  <si>
    <t>Әлеуметтік желілерде және Интернеттегі жарнамаларды  орналастыру</t>
  </si>
  <si>
    <t>Google, Yandex-да іздеу жүйесін оңтайландыру</t>
  </si>
  <si>
    <t>Интернет-басылымдарда ақпараттық материалдарды орналастыру</t>
  </si>
  <si>
    <t>Семинар "Внутренний аудит"</t>
  </si>
  <si>
    <t>"Ішкі аудит" семинары</t>
  </si>
  <si>
    <t xml:space="preserve">Запрос ценовых предложений без размещения объявления </t>
  </si>
  <si>
    <t xml:space="preserve">Налоговый кодекс РК </t>
  </si>
  <si>
    <t xml:space="preserve">ҚР  салық кодексі </t>
  </si>
  <si>
    <t>Сарсенбекұлы Е.</t>
  </si>
  <si>
    <t>Антивирустық бағдарламаны жаңарту (Kaspersky Endpoint Security for Business Select STAN and Caucasus. 50-99 Node 1 year Renewal License)</t>
  </si>
  <si>
    <t>Обновление Антивирусной программы (Kaspersky Endpoint Security for Business Select STAN and Caucasus. 50-99 Node 1 year Renewal License)</t>
  </si>
  <si>
    <t>IBM SPSS Statistics Version 23 – статистикалық мәліметті өңдеу  бағдарламасы, қолданбалы зерттеулер жүргізуге  арналған</t>
  </si>
  <si>
    <t>IBM SPSS Statistics Version 23 – программа для статистической обработки данных, предназначенная для проведения прикладных исследований.</t>
  </si>
  <si>
    <t>Коммутатор Cisco Catalyst 2960S. Cat 2960S Stk48 GigE,4xSFP LAN Base техникалық қолдау</t>
  </si>
  <si>
    <t>Техподдержка на коммутатор Cisco Catalyst 2960S. Cat 2960S Stk48 GigE,4xSFP LAN Base</t>
  </si>
  <si>
    <t>Цена за единицу, тенге  без НДС</t>
  </si>
  <si>
    <t>Общая сумма, утвержденная  для закупки, тенге без НДС</t>
  </si>
  <si>
    <t>Планируемый срок осуществления закупок (квартал)</t>
  </si>
  <si>
    <t>2018 год</t>
  </si>
  <si>
    <t>13</t>
  </si>
  <si>
    <t>9</t>
  </si>
  <si>
    <t xml:space="preserve">Системный блок </t>
  </si>
  <si>
    <t xml:space="preserve">Монитор  24" </t>
  </si>
  <si>
    <t>МФУ А3</t>
  </si>
  <si>
    <t>Принтер цветной А4</t>
  </si>
  <si>
    <t xml:space="preserve">МФУ А4 </t>
  </si>
  <si>
    <t xml:space="preserve">КФҚ А4 </t>
  </si>
  <si>
    <t>КФҚ А3</t>
  </si>
  <si>
    <t xml:space="preserve">Монитор 24" </t>
  </si>
  <si>
    <t xml:space="preserve">Жүйелік блок </t>
  </si>
  <si>
    <t>Түрлі-түсті принтер 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</si>
</sst>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"/>
    <numFmt numFmtId="167" formatCode="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7" fontId="7" fillId="0" borderId="15">
      <alignment horizontal="center" vertical="top" wrapText="1"/>
    </xf>
    <xf numFmtId="1" fontId="7" fillId="0" borderId="0">
      <alignment horizontal="center" vertical="top" wrapText="1"/>
    </xf>
    <xf numFmtId="166" fontId="7" fillId="0" borderId="15">
      <alignment horizontal="center" vertical="top" wrapText="1"/>
    </xf>
    <xf numFmtId="166" fontId="7" fillId="0" borderId="15">
      <alignment horizontal="center" vertical="top" wrapText="1"/>
    </xf>
    <xf numFmtId="166" fontId="7" fillId="0" borderId="15">
      <alignment horizontal="center" vertical="top" wrapText="1"/>
    </xf>
    <xf numFmtId="1" fontId="7" fillId="0" borderId="0">
      <alignment horizontal="center" vertical="top" wrapText="1"/>
    </xf>
    <xf numFmtId="167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15">
      <alignment horizontal="left" vertical="top"/>
    </xf>
    <xf numFmtId="0" fontId="7" fillId="0" borderId="16">
      <alignment horizontal="center" vertical="top" wrapText="1"/>
    </xf>
    <xf numFmtId="0" fontId="7" fillId="0" borderId="0">
      <alignment horizontal="left" vertical="top"/>
    </xf>
    <xf numFmtId="0" fontId="7" fillId="0" borderId="14">
      <alignment horizontal="left" vertical="top"/>
    </xf>
    <xf numFmtId="0" fontId="11" fillId="4" borderId="15">
      <alignment horizontal="left" vertical="top" wrapText="1"/>
    </xf>
    <xf numFmtId="0" fontId="11" fillId="4" borderId="15">
      <alignment horizontal="left" vertical="top" wrapText="1"/>
    </xf>
    <xf numFmtId="0" fontId="8" fillId="0" borderId="15">
      <alignment horizontal="left" vertical="top" wrapText="1"/>
    </xf>
    <xf numFmtId="0" fontId="7" fillId="0" borderId="15">
      <alignment horizontal="left" vertical="top" wrapText="1"/>
    </xf>
    <xf numFmtId="0" fontId="12" fillId="0" borderId="15">
      <alignment horizontal="left" vertical="top" wrapText="1"/>
    </xf>
    <xf numFmtId="0" fontId="13" fillId="0" borderId="0"/>
    <xf numFmtId="0" fontId="15" fillId="0" borderId="0"/>
    <xf numFmtId="0" fontId="3" fillId="0" borderId="0"/>
    <xf numFmtId="0" fontId="9" fillId="0" borderId="0">
      <alignment horizontal="center" vertical="top"/>
    </xf>
    <xf numFmtId="0" fontId="7" fillId="0" borderId="17">
      <alignment horizontal="center" textRotation="90" wrapText="1"/>
    </xf>
    <xf numFmtId="0" fontId="7" fillId="0" borderId="17">
      <alignment horizontal="center" vertical="center" wrapText="1"/>
    </xf>
    <xf numFmtId="1" fontId="10" fillId="0" borderId="0">
      <alignment horizontal="center" vertical="top" wrapText="1"/>
    </xf>
    <xf numFmtId="167" fontId="10" fillId="0" borderId="15">
      <alignment horizontal="center" vertical="top" wrapText="1"/>
    </xf>
    <xf numFmtId="166" fontId="10" fillId="0" borderId="15">
      <alignment horizontal="center" vertical="top" wrapText="1"/>
    </xf>
    <xf numFmtId="166" fontId="10" fillId="0" borderId="15">
      <alignment horizontal="center" vertical="top" wrapText="1"/>
    </xf>
    <xf numFmtId="166" fontId="10" fillId="0" borderId="15">
      <alignment horizontal="center" vertical="top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</cellStyleXfs>
  <cellXfs count="166">
    <xf numFmtId="0" fontId="0" fillId="0" borderId="0" xfId="0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Alignment="1">
      <alignment horizontal="center" vertical="center"/>
    </xf>
    <xf numFmtId="0" fontId="17" fillId="5" borderId="0" xfId="0" applyFont="1" applyFill="1"/>
    <xf numFmtId="0" fontId="0" fillId="0" borderId="0" xfId="0" applyBorder="1"/>
    <xf numFmtId="0" fontId="17" fillId="0" borderId="0" xfId="0" applyFont="1" applyFill="1"/>
    <xf numFmtId="49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hidden="1"/>
    </xf>
    <xf numFmtId="2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hidden="1"/>
    </xf>
    <xf numFmtId="49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2" fontId="20" fillId="0" borderId="7" xfId="0" applyNumberFormat="1" applyFont="1" applyFill="1" applyBorder="1" applyAlignment="1" applyProtection="1">
      <alignment horizontal="center" vertical="center"/>
      <protection locked="0"/>
    </xf>
    <xf numFmtId="4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/>
    </xf>
    <xf numFmtId="49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0" fillId="0" borderId="9" xfId="1" applyFont="1" applyFill="1" applyBorder="1" applyAlignment="1" applyProtection="1">
      <alignment horizontal="center" vertical="center"/>
      <protection locked="0"/>
    </xf>
    <xf numFmtId="49" fontId="20" fillId="0" borderId="12" xfId="1" applyNumberFormat="1" applyFont="1" applyFill="1" applyBorder="1" applyAlignment="1" applyProtection="1">
      <alignment horizontal="center" vertical="center"/>
      <protection locked="0"/>
    </xf>
    <xf numFmtId="0" fontId="20" fillId="0" borderId="21" xfId="1" applyFont="1" applyFill="1" applyBorder="1" applyAlignment="1" applyProtection="1">
      <alignment horizontal="center" vertical="center"/>
      <protection locked="0"/>
    </xf>
    <xf numFmtId="0" fontId="20" fillId="0" borderId="25" xfId="1" applyFont="1" applyFill="1" applyBorder="1" applyAlignment="1" applyProtection="1">
      <alignment horizontal="center" vertical="center"/>
      <protection locked="0"/>
    </xf>
    <xf numFmtId="4" fontId="20" fillId="3" borderId="7" xfId="1" applyNumberFormat="1" applyFont="1" applyFill="1" applyBorder="1" applyAlignment="1" applyProtection="1">
      <alignment horizontal="center" vertical="center"/>
      <protection locked="0"/>
    </xf>
    <xf numFmtId="49" fontId="20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2" borderId="28" xfId="2" applyFont="1" applyFill="1" applyBorder="1" applyAlignment="1" applyProtection="1">
      <alignment horizontal="center" vertical="center" wrapText="1"/>
      <protection locked="0"/>
    </xf>
    <xf numFmtId="49" fontId="4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1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22" xfId="1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hidden="1"/>
    </xf>
    <xf numFmtId="2" fontId="20" fillId="0" borderId="22" xfId="0" applyNumberFormat="1" applyFont="1" applyFill="1" applyBorder="1" applyAlignment="1" applyProtection="1">
      <alignment horizontal="center" vertical="center"/>
      <protection locked="0"/>
    </xf>
    <xf numFmtId="4" fontId="20" fillId="0" borderId="22" xfId="0" applyNumberFormat="1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Fill="1" applyBorder="1" applyAlignment="1" applyProtection="1">
      <alignment horizontal="center" vertical="center"/>
      <protection locked="0"/>
    </xf>
    <xf numFmtId="49" fontId="20" fillId="5" borderId="7" xfId="1" applyNumberFormat="1" applyFont="1" applyFill="1" applyBorder="1" applyAlignment="1" applyProtection="1">
      <alignment horizontal="center" vertical="center"/>
      <protection locked="0"/>
    </xf>
    <xf numFmtId="4" fontId="20" fillId="6" borderId="7" xfId="1" applyNumberFormat="1" applyFont="1" applyFill="1" applyBorder="1" applyAlignment="1" applyProtection="1">
      <alignment horizontal="center" vertical="center"/>
      <protection hidden="1"/>
    </xf>
    <xf numFmtId="4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/>
    <xf numFmtId="49" fontId="20" fillId="6" borderId="7" xfId="1" applyNumberFormat="1" applyFont="1" applyFill="1" applyBorder="1" applyAlignment="1" applyProtection="1">
      <alignment horizontal="center" vertical="center"/>
      <protection locked="0"/>
    </xf>
    <xf numFmtId="49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 vertical="center"/>
    </xf>
    <xf numFmtId="49" fontId="20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4" fontId="20" fillId="0" borderId="22" xfId="1" applyNumberFormat="1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/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Fill="1"/>
    <xf numFmtId="0" fontId="0" fillId="0" borderId="0" xfId="0"/>
    <xf numFmtId="0" fontId="21" fillId="3" borderId="0" xfId="0" applyFont="1" applyFill="1" applyAlignment="1">
      <alignment horizontal="center" vertical="center" wrapText="1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hidden="1"/>
    </xf>
    <xf numFmtId="2" fontId="20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0" borderId="0" xfId="1" applyNumberFormat="1" applyFont="1" applyFill="1" applyBorder="1" applyAlignment="1" applyProtection="1">
      <alignment horizontal="center" vertical="center"/>
      <protection hidden="1"/>
    </xf>
    <xf numFmtId="49" fontId="20" fillId="0" borderId="0" xfId="1" applyNumberFormat="1" applyFont="1" applyFill="1" applyBorder="1" applyAlignment="1" applyProtection="1">
      <alignment horizontal="center" vertical="center"/>
      <protection locked="0"/>
    </xf>
    <xf numFmtId="49" fontId="20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20" fillId="0" borderId="19" xfId="1" applyFont="1" applyFill="1" applyBorder="1" applyAlignment="1" applyProtection="1">
      <alignment horizontal="center" vertical="center"/>
      <protection locked="0"/>
    </xf>
    <xf numFmtId="49" fontId="20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hidden="1"/>
    </xf>
    <xf numFmtId="2" fontId="20" fillId="0" borderId="19" xfId="1" applyNumberFormat="1" applyFont="1" applyFill="1" applyBorder="1" applyAlignment="1" applyProtection="1">
      <alignment horizontal="center" vertical="center"/>
      <protection locked="0"/>
    </xf>
    <xf numFmtId="4" fontId="20" fillId="0" borderId="19" xfId="1" applyNumberFormat="1" applyFont="1" applyFill="1" applyBorder="1" applyAlignment="1" applyProtection="1">
      <alignment horizontal="center" vertical="center"/>
      <protection locked="0"/>
    </xf>
    <xf numFmtId="4" fontId="20" fillId="0" borderId="19" xfId="1" applyNumberFormat="1" applyFont="1" applyFill="1" applyBorder="1" applyAlignment="1" applyProtection="1">
      <alignment horizontal="center" vertical="center"/>
      <protection hidden="1"/>
    </xf>
    <xf numFmtId="49" fontId="20" fillId="0" borderId="19" xfId="1" applyNumberFormat="1" applyFont="1" applyFill="1" applyBorder="1" applyAlignment="1" applyProtection="1">
      <alignment horizontal="center" vertical="center"/>
      <protection locked="0"/>
    </xf>
    <xf numFmtId="0" fontId="20" fillId="0" borderId="11" xfId="1" applyFont="1" applyFill="1" applyBorder="1" applyAlignment="1" applyProtection="1">
      <alignment horizontal="center" vertical="center"/>
      <protection locked="0"/>
    </xf>
    <xf numFmtId="0" fontId="20" fillId="0" borderId="12" xfId="1" applyFont="1" applyFill="1" applyBorder="1" applyAlignment="1" applyProtection="1">
      <alignment horizontal="center" vertical="center"/>
      <protection locked="0"/>
    </xf>
    <xf numFmtId="49" fontId="2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1" applyFont="1" applyFill="1" applyBorder="1" applyAlignment="1" applyProtection="1">
      <alignment horizontal="center" vertical="center" wrapText="1"/>
      <protection locked="0"/>
    </xf>
    <xf numFmtId="0" fontId="20" fillId="0" borderId="12" xfId="1" applyFont="1" applyFill="1" applyBorder="1" applyAlignment="1" applyProtection="1">
      <alignment horizontal="center" vertical="center" wrapText="1"/>
      <protection hidden="1"/>
    </xf>
    <xf numFmtId="2" fontId="20" fillId="0" borderId="12" xfId="1" applyNumberFormat="1" applyFont="1" applyFill="1" applyBorder="1" applyAlignment="1" applyProtection="1">
      <alignment horizontal="center" vertical="center"/>
      <protection locked="0"/>
    </xf>
    <xf numFmtId="4" fontId="20" fillId="0" borderId="12" xfId="1" applyNumberFormat="1" applyFont="1" applyFill="1" applyBorder="1" applyAlignment="1" applyProtection="1">
      <alignment horizontal="center" vertical="center"/>
      <protection locked="0"/>
    </xf>
    <xf numFmtId="4" fontId="20" fillId="0" borderId="12" xfId="1" applyNumberFormat="1" applyFont="1" applyFill="1" applyBorder="1" applyAlignment="1" applyProtection="1">
      <alignment horizontal="center" vertical="center"/>
      <protection hidden="1"/>
    </xf>
    <xf numFmtId="0" fontId="4" fillId="2" borderId="37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49" fontId="4" fillId="2" borderId="38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0" fontId="20" fillId="0" borderId="13" xfId="1" applyFont="1" applyFill="1" applyBorder="1" applyAlignment="1" applyProtection="1">
      <alignment horizontal="center" vertical="center"/>
      <protection locked="0"/>
    </xf>
    <xf numFmtId="0" fontId="20" fillId="0" borderId="20" xfId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Alignment="1" applyProtection="1">
      <alignment horizont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3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4" xfId="2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>
      <alignment horizontal="center" vertical="center" wrapText="1"/>
    </xf>
    <xf numFmtId="4" fontId="4" fillId="2" borderId="31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32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3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3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5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6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31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33" xfId="2" applyFont="1" applyFill="1" applyBorder="1" applyAlignment="1" applyProtection="1">
      <alignment horizontal="center" vertical="center" wrapText="1"/>
      <protection locked="0"/>
    </xf>
    <xf numFmtId="0" fontId="4" fillId="2" borderId="34" xfId="2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33" xfId="2" applyFont="1" applyFill="1" applyBorder="1" applyAlignment="1" applyProtection="1">
      <alignment horizontal="center" vertical="center" wrapText="1"/>
      <protection hidden="1"/>
    </xf>
    <xf numFmtId="0" fontId="4" fillId="2" borderId="34" xfId="2" applyFont="1" applyFill="1" applyBorder="1" applyAlignment="1" applyProtection="1">
      <alignment horizontal="center" vertical="center" wrapText="1"/>
      <protection hidden="1"/>
    </xf>
    <xf numFmtId="1" fontId="4" fillId="2" borderId="31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2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3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4" xfId="2" applyNumberFormat="1" applyFont="1" applyFill="1" applyBorder="1" applyAlignment="1" applyProtection="1">
      <alignment horizontal="center" vertical="center" wrapText="1"/>
      <protection locked="0"/>
    </xf>
  </cellXfs>
  <cellStyles count="75">
    <cellStyle name="Cell1" xfId="5"/>
    <cellStyle name="Cell2" xfId="4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Денежный 2" xfId="67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1"/>
    <cellStyle name="Обычный 3 2" xfId="51"/>
    <cellStyle name="Обычный 3 3" xfId="73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72"/>
    <cellStyle name="Обычный 7" xfId="59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Процентный 2" xfId="69"/>
    <cellStyle name="Процентный 3" xfId="68"/>
    <cellStyle name="Стиль 1" xfId="65"/>
    <cellStyle name="Стиль 1 2" xfId="66"/>
    <cellStyle name="Финансовый 2" xfId="3"/>
    <cellStyle name="Финансовый 2 2" xfId="70"/>
    <cellStyle name="Финансовый 3" xfId="71"/>
    <cellStyle name="Финансовый 4" xfId="74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Local/Microsoft/Windows/Temporary%20Internet%20Files/Content.Outlook/VXEMQXNN/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2\AppData\Local\Microsoft\Windows\Temporary%20Internet%20Files\Content.Outlook\VXEMQXNN\&#1050;&#1086;&#1087;&#1080;&#1103;%20&#1064;&#1072;&#1073;&#1083;&#1086;&#1085;%20&#1087;&#1083;&#1072;&#1085;&#1072;%20&#1043;&#1047;_ru_v47_2013-2014%20&#1075;&#1086;&#1076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Бюджет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N59"/>
  <sheetViews>
    <sheetView topLeftCell="A4" zoomScale="50" zoomScaleNormal="50" workbookViewId="0">
      <selection activeCell="T18" sqref="T18"/>
    </sheetView>
  </sheetViews>
  <sheetFormatPr defaultRowHeight="15"/>
  <cols>
    <col min="1" max="1" width="6" customWidth="1"/>
    <col min="2" max="2" width="17.140625" hidden="1" customWidth="1"/>
    <col min="3" max="3" width="14.28515625" hidden="1" customWidth="1"/>
    <col min="4" max="4" width="27" hidden="1" customWidth="1"/>
    <col min="5" max="5" width="27.42578125" hidden="1" customWidth="1"/>
    <col min="6" max="6" width="27.7109375" hidden="1" customWidth="1"/>
    <col min="7" max="7" width="40.140625" customWidth="1"/>
    <col min="8" max="8" width="21.42578125" customWidth="1"/>
    <col min="9" max="9" width="16" customWidth="1"/>
    <col min="10" max="10" width="14.140625" customWidth="1"/>
    <col min="11" max="11" width="20.7109375" customWidth="1"/>
    <col min="12" max="12" width="18.85546875" customWidth="1"/>
    <col min="13" max="27" width="17.28515625" customWidth="1"/>
    <col min="28" max="28" width="15.85546875" customWidth="1"/>
    <col min="29" max="29" width="18.140625" customWidth="1"/>
    <col min="30" max="30" width="12.42578125" customWidth="1"/>
    <col min="31" max="31" width="17.85546875" customWidth="1"/>
    <col min="32" max="32" width="12.140625" customWidth="1"/>
    <col min="33" max="33" width="10.5703125" customWidth="1"/>
    <col min="36" max="37" width="9.7109375" bestFit="1" customWidth="1"/>
  </cols>
  <sheetData>
    <row r="2" spans="1:456" ht="15.75">
      <c r="AC2" s="26" t="s">
        <v>82</v>
      </c>
      <c r="AD2" s="26"/>
    </row>
    <row r="3" spans="1:456" ht="15.75">
      <c r="AC3" s="26" t="s">
        <v>117</v>
      </c>
      <c r="AD3" s="26"/>
    </row>
    <row r="6" spans="1:456" ht="18.75">
      <c r="A6" s="135" t="s">
        <v>90</v>
      </c>
      <c r="B6" s="135"/>
      <c r="C6" s="135"/>
      <c r="D6" s="120"/>
      <c r="E6" s="120"/>
      <c r="F6" s="120"/>
      <c r="G6" s="120"/>
      <c r="H6" s="120"/>
      <c r="I6" s="120"/>
      <c r="J6" s="120"/>
      <c r="K6" s="120"/>
    </row>
    <row r="7" spans="1:456" ht="15.75" thickBot="1"/>
    <row r="8" spans="1:456" ht="53.45" customHeight="1" thickBot="1">
      <c r="C8" s="23" t="s">
        <v>63</v>
      </c>
      <c r="D8" s="23" t="s">
        <v>73</v>
      </c>
      <c r="E8" s="25" t="s">
        <v>0</v>
      </c>
      <c r="F8" s="24" t="s">
        <v>91</v>
      </c>
    </row>
    <row r="9" spans="1:456" ht="15.75" thickBot="1"/>
    <row r="10" spans="1:456" s="1" customFormat="1" ht="12" customHeight="1">
      <c r="A10" s="136" t="s">
        <v>1</v>
      </c>
      <c r="B10" s="138" t="s">
        <v>118</v>
      </c>
      <c r="C10" s="140" t="s">
        <v>2</v>
      </c>
      <c r="D10" s="140" t="s">
        <v>65</v>
      </c>
      <c r="E10" s="140" t="s">
        <v>66</v>
      </c>
      <c r="F10" s="140" t="s">
        <v>67</v>
      </c>
      <c r="G10" s="140" t="s">
        <v>68</v>
      </c>
      <c r="H10" s="140" t="s">
        <v>3</v>
      </c>
      <c r="I10" s="143" t="s">
        <v>69</v>
      </c>
      <c r="J10" s="133" t="s">
        <v>4</v>
      </c>
      <c r="K10" s="133" t="s">
        <v>5</v>
      </c>
      <c r="L10" s="129" t="s">
        <v>6</v>
      </c>
      <c r="M10" s="131" t="s">
        <v>7</v>
      </c>
      <c r="N10" s="131" t="s">
        <v>70</v>
      </c>
      <c r="O10" s="131" t="s">
        <v>71</v>
      </c>
      <c r="P10" s="131" t="s">
        <v>130</v>
      </c>
      <c r="Q10" s="129" t="s">
        <v>129</v>
      </c>
      <c r="R10" s="129" t="s">
        <v>128</v>
      </c>
      <c r="S10" s="129" t="s">
        <v>131</v>
      </c>
      <c r="T10" s="129" t="s">
        <v>132</v>
      </c>
      <c r="U10" s="129"/>
      <c r="V10" s="129"/>
      <c r="W10" s="129"/>
      <c r="X10" s="129" t="s">
        <v>115</v>
      </c>
      <c r="Y10" s="68"/>
      <c r="Z10" s="129" t="s">
        <v>126</v>
      </c>
      <c r="AA10" s="129" t="s">
        <v>127</v>
      </c>
      <c r="AB10" s="121" t="s">
        <v>8</v>
      </c>
      <c r="AC10" s="121" t="s">
        <v>9</v>
      </c>
      <c r="AD10" s="123" t="s">
        <v>10</v>
      </c>
    </row>
    <row r="11" spans="1:456" s="1" customFormat="1" ht="121.15" customHeight="1">
      <c r="A11" s="137"/>
      <c r="B11" s="139"/>
      <c r="C11" s="141"/>
      <c r="D11" s="141"/>
      <c r="E11" s="141"/>
      <c r="F11" s="141"/>
      <c r="G11" s="142"/>
      <c r="H11" s="142"/>
      <c r="I11" s="144"/>
      <c r="J11" s="134"/>
      <c r="K11" s="134"/>
      <c r="L11" s="130"/>
      <c r="M11" s="132"/>
      <c r="N11" s="132" t="s">
        <v>70</v>
      </c>
      <c r="O11" s="132"/>
      <c r="P11" s="132"/>
      <c r="Q11" s="130"/>
      <c r="R11" s="130"/>
      <c r="S11" s="130"/>
      <c r="T11" s="130"/>
      <c r="U11" s="130"/>
      <c r="V11" s="130"/>
      <c r="W11" s="130"/>
      <c r="X11" s="130"/>
      <c r="Y11" s="69"/>
      <c r="Z11" s="130"/>
      <c r="AA11" s="130"/>
      <c r="AB11" s="122"/>
      <c r="AC11" s="122"/>
      <c r="AD11" s="124"/>
    </row>
    <row r="12" spans="1:456" s="1" customFormat="1" ht="19.149999999999999" customHeight="1">
      <c r="A12" s="39"/>
      <c r="B12" s="39"/>
      <c r="C12" s="40"/>
      <c r="D12" s="40"/>
      <c r="E12" s="40"/>
      <c r="F12" s="40"/>
      <c r="G12" s="39"/>
      <c r="H12" s="39"/>
      <c r="I12" s="41"/>
      <c r="J12" s="42"/>
      <c r="K12" s="42"/>
      <c r="L12" s="43"/>
      <c r="M12" s="44"/>
      <c r="N12" s="44"/>
      <c r="O12" s="44"/>
      <c r="P12" s="4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5"/>
      <c r="AC12" s="45"/>
      <c r="AD12" s="42"/>
    </row>
    <row r="13" spans="1:456" s="1" customFormat="1" ht="21" customHeight="1" thickBot="1">
      <c r="A13" s="37">
        <v>0</v>
      </c>
      <c r="B13" s="36">
        <v>1</v>
      </c>
      <c r="C13" s="67">
        <v>2</v>
      </c>
      <c r="D13" s="67">
        <v>3</v>
      </c>
      <c r="E13" s="67">
        <v>4</v>
      </c>
      <c r="F13" s="67">
        <v>5</v>
      </c>
      <c r="G13" s="67">
        <v>6</v>
      </c>
      <c r="H13" s="67">
        <v>7</v>
      </c>
      <c r="I13" s="67">
        <v>8</v>
      </c>
      <c r="J13" s="67">
        <v>9</v>
      </c>
      <c r="K13" s="67">
        <v>10</v>
      </c>
      <c r="L13" s="67">
        <v>11</v>
      </c>
      <c r="M13" s="67">
        <v>12</v>
      </c>
      <c r="N13" s="67">
        <v>13</v>
      </c>
      <c r="O13" s="67">
        <v>14</v>
      </c>
      <c r="P13" s="67"/>
      <c r="Q13" s="67"/>
      <c r="R13" s="67"/>
      <c r="S13" s="67"/>
      <c r="T13" s="67"/>
      <c r="U13" s="67"/>
      <c r="V13" s="67"/>
      <c r="W13" s="67"/>
      <c r="X13" s="67"/>
      <c r="Y13" s="70"/>
      <c r="Z13" s="67"/>
      <c r="AA13" s="67"/>
      <c r="AB13" s="67">
        <v>15</v>
      </c>
      <c r="AC13" s="67">
        <v>16</v>
      </c>
      <c r="AD13" s="38" t="s">
        <v>119</v>
      </c>
    </row>
    <row r="14" spans="1:456" s="4" customFormat="1" ht="126">
      <c r="A14" s="27">
        <v>3</v>
      </c>
      <c r="B14" s="30" t="s">
        <v>120</v>
      </c>
      <c r="C14" s="7" t="s">
        <v>11</v>
      </c>
      <c r="D14" s="7" t="s">
        <v>19</v>
      </c>
      <c r="E14" s="7" t="s">
        <v>19</v>
      </c>
      <c r="F14" s="7" t="s">
        <v>20</v>
      </c>
      <c r="G14" s="7" t="s">
        <v>21</v>
      </c>
      <c r="H14" s="8" t="s">
        <v>72</v>
      </c>
      <c r="I14" s="10" t="s">
        <v>14</v>
      </c>
      <c r="J14" s="11">
        <v>1</v>
      </c>
      <c r="K14" s="12">
        <f>22840755.84/1.12</f>
        <v>20393531.999999996</v>
      </c>
      <c r="L14" s="13">
        <f>K14</f>
        <v>20393531.999999996</v>
      </c>
      <c r="M14" s="9"/>
      <c r="N14" s="9"/>
      <c r="O14" s="9"/>
      <c r="P14" s="9"/>
      <c r="Q14" s="12">
        <f>-(10178.57+66964.29)</f>
        <v>-77142.859999999986</v>
      </c>
      <c r="R14" s="12"/>
      <c r="S14" s="12"/>
      <c r="T14" s="12"/>
      <c r="U14" s="12"/>
      <c r="V14" s="12"/>
      <c r="W14" s="12"/>
      <c r="X14" s="12">
        <f>L14+Q14</f>
        <v>20316389.139999997</v>
      </c>
      <c r="Y14" s="12"/>
      <c r="Z14" s="12"/>
      <c r="AA14" s="12"/>
      <c r="AB14" s="62" t="s">
        <v>158</v>
      </c>
      <c r="AC14" s="14" t="s">
        <v>15</v>
      </c>
      <c r="AD14" s="15">
        <v>5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</row>
    <row r="15" spans="1:456" s="4" customFormat="1" ht="41.45" customHeight="1">
      <c r="A15" s="27">
        <v>4</v>
      </c>
      <c r="B15" s="30" t="s">
        <v>120</v>
      </c>
      <c r="C15" s="7" t="s">
        <v>22</v>
      </c>
      <c r="D15" s="7" t="s">
        <v>110</v>
      </c>
      <c r="E15" s="7" t="s">
        <v>110</v>
      </c>
      <c r="F15" s="7" t="s">
        <v>27</v>
      </c>
      <c r="G15" s="7" t="s">
        <v>28</v>
      </c>
      <c r="H15" s="8" t="s">
        <v>72</v>
      </c>
      <c r="I15" s="10" t="s">
        <v>23</v>
      </c>
      <c r="J15" s="11">
        <v>80</v>
      </c>
      <c r="K15" s="31">
        <f>32510.6999/1.12</f>
        <v>29027.410624999997</v>
      </c>
      <c r="L15" s="13">
        <f t="shared" ref="L15:L23" si="0">J15*K15</f>
        <v>2322192.8499999996</v>
      </c>
      <c r="M15" s="9"/>
      <c r="N15" s="9"/>
      <c r="O15" s="9"/>
      <c r="P15" s="9"/>
      <c r="Q15" s="9"/>
      <c r="R15" s="9"/>
      <c r="S15" s="9"/>
      <c r="T15" s="9"/>
      <c r="U15" s="12">
        <v>-2322192.85</v>
      </c>
      <c r="V15" s="12"/>
      <c r="W15" s="12"/>
      <c r="X15" s="9"/>
      <c r="Y15" s="9"/>
      <c r="Z15" s="9"/>
      <c r="AA15" s="9"/>
      <c r="AB15" s="61" t="s">
        <v>45</v>
      </c>
      <c r="AC15" s="14" t="s">
        <v>15</v>
      </c>
      <c r="AD15" s="15">
        <v>5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</row>
    <row r="16" spans="1:456" s="4" customFormat="1" ht="60" customHeight="1">
      <c r="A16" s="27">
        <v>5</v>
      </c>
      <c r="B16" s="30" t="s">
        <v>120</v>
      </c>
      <c r="C16" s="7" t="s">
        <v>22</v>
      </c>
      <c r="D16" s="7" t="s">
        <v>93</v>
      </c>
      <c r="E16" s="7" t="s">
        <v>93</v>
      </c>
      <c r="F16" s="7" t="s">
        <v>96</v>
      </c>
      <c r="G16" s="7" t="s">
        <v>93</v>
      </c>
      <c r="H16" s="8" t="s">
        <v>72</v>
      </c>
      <c r="I16" s="10" t="s">
        <v>23</v>
      </c>
      <c r="J16" s="11">
        <v>100</v>
      </c>
      <c r="K16" s="12">
        <f>27000/1.12</f>
        <v>24107.142857142855</v>
      </c>
      <c r="L16" s="13">
        <f t="shared" si="0"/>
        <v>2410714.2857142854</v>
      </c>
      <c r="M16" s="9"/>
      <c r="N16" s="9"/>
      <c r="O16" s="9"/>
      <c r="P16" s="9"/>
      <c r="Q16" s="9"/>
      <c r="R16" s="9"/>
      <c r="S16" s="9"/>
      <c r="T16" s="9"/>
      <c r="U16" s="12">
        <v>-76407.149999999994</v>
      </c>
      <c r="V16" s="9"/>
      <c r="W16" s="9"/>
      <c r="X16" s="12">
        <f>L16+U16</f>
        <v>2334307.1357142855</v>
      </c>
      <c r="Y16" s="12"/>
      <c r="Z16" s="9"/>
      <c r="AA16" s="9"/>
      <c r="AB16" s="57" t="s">
        <v>45</v>
      </c>
      <c r="AC16" s="14" t="s">
        <v>15</v>
      </c>
      <c r="AD16" s="15">
        <v>5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</row>
    <row r="17" spans="1:456" s="4" customFormat="1" ht="63">
      <c r="A17" s="27">
        <v>6</v>
      </c>
      <c r="B17" s="30" t="s">
        <v>120</v>
      </c>
      <c r="C17" s="7" t="s">
        <v>22</v>
      </c>
      <c r="D17" s="7" t="s">
        <v>94</v>
      </c>
      <c r="E17" s="7" t="s">
        <v>94</v>
      </c>
      <c r="F17" s="7" t="s">
        <v>95</v>
      </c>
      <c r="G17" s="64" t="s">
        <v>94</v>
      </c>
      <c r="H17" s="8" t="s">
        <v>116</v>
      </c>
      <c r="I17" s="10" t="s">
        <v>23</v>
      </c>
      <c r="J17" s="11">
        <v>5</v>
      </c>
      <c r="K17" s="12">
        <f>1080/1.12</f>
        <v>964.28571428571422</v>
      </c>
      <c r="L17" s="13">
        <f t="shared" si="0"/>
        <v>4821.4285714285706</v>
      </c>
      <c r="M17" s="9"/>
      <c r="N17" s="9"/>
      <c r="O17" s="9"/>
      <c r="P17" s="9"/>
      <c r="Q17" s="58">
        <f>2035.71*5+0.02</f>
        <v>10178.57</v>
      </c>
      <c r="R17" s="13"/>
      <c r="S17" s="13"/>
      <c r="T17" s="13"/>
      <c r="U17" s="13"/>
      <c r="V17" s="13"/>
      <c r="W17" s="13"/>
      <c r="X17" s="12">
        <f>L17+Q17</f>
        <v>14999.99857142857</v>
      </c>
      <c r="Y17" s="12"/>
      <c r="Z17" s="12"/>
      <c r="AA17" s="12"/>
      <c r="AB17" s="57" t="s">
        <v>45</v>
      </c>
      <c r="AC17" s="14" t="s">
        <v>15</v>
      </c>
      <c r="AD17" s="15">
        <v>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</row>
    <row r="18" spans="1:456" s="4" customFormat="1" ht="63">
      <c r="A18" s="27">
        <v>7</v>
      </c>
      <c r="B18" s="30" t="s">
        <v>120</v>
      </c>
      <c r="C18" s="7" t="s">
        <v>22</v>
      </c>
      <c r="D18" s="7" t="s">
        <v>98</v>
      </c>
      <c r="E18" s="7" t="s">
        <v>98</v>
      </c>
      <c r="F18" s="7" t="s">
        <v>97</v>
      </c>
      <c r="G18" s="64" t="s">
        <v>98</v>
      </c>
      <c r="H18" s="8" t="s">
        <v>116</v>
      </c>
      <c r="I18" s="10" t="s">
        <v>23</v>
      </c>
      <c r="J18" s="11">
        <v>1</v>
      </c>
      <c r="K18" s="12">
        <f>70200/1.12</f>
        <v>62678.57142857142</v>
      </c>
      <c r="L18" s="13">
        <f t="shared" si="0"/>
        <v>62678.57142857142</v>
      </c>
      <c r="M18" s="9"/>
      <c r="N18" s="9"/>
      <c r="O18" s="9"/>
      <c r="P18" s="58">
        <v>125428.57</v>
      </c>
      <c r="Q18" s="6"/>
      <c r="R18" s="60"/>
      <c r="S18" s="60"/>
      <c r="T18" s="60"/>
      <c r="U18" s="60"/>
      <c r="V18" s="60"/>
      <c r="W18" s="60"/>
      <c r="X18" s="12">
        <f>L18+P18</f>
        <v>188107.14142857143</v>
      </c>
      <c r="Y18" s="12"/>
      <c r="Z18" s="12"/>
      <c r="AA18" s="12"/>
      <c r="AB18" s="57" t="s">
        <v>45</v>
      </c>
      <c r="AC18" s="14" t="s">
        <v>15</v>
      </c>
      <c r="AD18" s="15">
        <v>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</row>
    <row r="19" spans="1:456" s="3" customFormat="1" ht="78" customHeight="1">
      <c r="A19" s="27">
        <v>8</v>
      </c>
      <c r="B19" s="30" t="s">
        <v>120</v>
      </c>
      <c r="C19" s="7" t="s">
        <v>11</v>
      </c>
      <c r="D19" s="7" t="s">
        <v>29</v>
      </c>
      <c r="E19" s="7" t="s">
        <v>29</v>
      </c>
      <c r="F19" s="7" t="s">
        <v>30</v>
      </c>
      <c r="G19" s="7" t="s">
        <v>92</v>
      </c>
      <c r="H19" s="8" t="s">
        <v>72</v>
      </c>
      <c r="I19" s="10" t="s">
        <v>14</v>
      </c>
      <c r="J19" s="11">
        <v>1</v>
      </c>
      <c r="K19" s="12">
        <f>2000000/1.12</f>
        <v>1785714.2857142854</v>
      </c>
      <c r="L19" s="13">
        <f t="shared" si="0"/>
        <v>1785714.2857142854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2">
        <f>L19</f>
        <v>1785714.2857142854</v>
      </c>
      <c r="Y19" s="12"/>
      <c r="Z19" s="9"/>
      <c r="AA19" s="9"/>
      <c r="AB19" s="14" t="s">
        <v>53</v>
      </c>
      <c r="AC19" s="14" t="s">
        <v>15</v>
      </c>
      <c r="AD19" s="15">
        <v>5</v>
      </c>
    </row>
    <row r="20" spans="1:456" s="3" customFormat="1" ht="110.25">
      <c r="A20" s="27">
        <v>9</v>
      </c>
      <c r="B20" s="30" t="s">
        <v>120</v>
      </c>
      <c r="C20" s="7" t="s">
        <v>11</v>
      </c>
      <c r="D20" s="7" t="s">
        <v>88</v>
      </c>
      <c r="E20" s="7" t="s">
        <v>88</v>
      </c>
      <c r="F20" s="7" t="s">
        <v>102</v>
      </c>
      <c r="G20" s="7" t="s">
        <v>88</v>
      </c>
      <c r="H20" s="8" t="s">
        <v>72</v>
      </c>
      <c r="I20" s="10" t="s">
        <v>14</v>
      </c>
      <c r="J20" s="11">
        <v>1</v>
      </c>
      <c r="K20" s="12">
        <f>4860000/1.12</f>
        <v>4339285.7142857136</v>
      </c>
      <c r="L20" s="13">
        <f t="shared" si="0"/>
        <v>4339285.7142857136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2">
        <f>L20</f>
        <v>4339285.7142857136</v>
      </c>
      <c r="Y20" s="12"/>
      <c r="Z20" s="9"/>
      <c r="AA20" s="9"/>
      <c r="AB20" s="14" t="s">
        <v>48</v>
      </c>
      <c r="AC20" s="14" t="s">
        <v>15</v>
      </c>
      <c r="AD20" s="15">
        <v>5</v>
      </c>
    </row>
    <row r="21" spans="1:456" s="3" customFormat="1" ht="78" customHeight="1">
      <c r="A21" s="27">
        <v>10</v>
      </c>
      <c r="B21" s="30" t="s">
        <v>120</v>
      </c>
      <c r="C21" s="7" t="s">
        <v>11</v>
      </c>
      <c r="D21" s="7" t="s">
        <v>99</v>
      </c>
      <c r="E21" s="7" t="s">
        <v>99</v>
      </c>
      <c r="F21" s="7" t="s">
        <v>103</v>
      </c>
      <c r="G21" s="32" t="s">
        <v>121</v>
      </c>
      <c r="H21" s="8" t="s">
        <v>116</v>
      </c>
      <c r="I21" s="10" t="s">
        <v>14</v>
      </c>
      <c r="J21" s="11">
        <v>1</v>
      </c>
      <c r="K21" s="31">
        <v>475428.57</v>
      </c>
      <c r="L21" s="13">
        <f t="shared" si="0"/>
        <v>475428.57</v>
      </c>
      <c r="M21" s="9"/>
      <c r="N21" s="9"/>
      <c r="O21" s="9"/>
      <c r="P21" s="58">
        <v>-125428.57</v>
      </c>
      <c r="Q21" s="54"/>
      <c r="R21" s="63"/>
      <c r="S21" s="63"/>
      <c r="T21" s="63"/>
      <c r="U21" s="63"/>
      <c r="V21" s="63"/>
      <c r="W21" s="63"/>
      <c r="X21" s="58">
        <f>L21+P21</f>
        <v>350000</v>
      </c>
      <c r="Y21" s="58"/>
      <c r="Z21" s="58">
        <f>X21</f>
        <v>350000</v>
      </c>
      <c r="AA21" s="13">
        <f>X21-Z21</f>
        <v>0</v>
      </c>
      <c r="AB21" s="14" t="s">
        <v>53</v>
      </c>
      <c r="AC21" s="14" t="s">
        <v>15</v>
      </c>
      <c r="AD21" s="15">
        <v>5</v>
      </c>
    </row>
    <row r="22" spans="1:456" s="3" customFormat="1" ht="78" customHeight="1">
      <c r="A22" s="27">
        <v>11</v>
      </c>
      <c r="B22" s="9" t="s">
        <v>120</v>
      </c>
      <c r="C22" s="7" t="s">
        <v>11</v>
      </c>
      <c r="D22" s="7" t="s">
        <v>99</v>
      </c>
      <c r="E22" s="7" t="s">
        <v>99</v>
      </c>
      <c r="F22" s="7" t="s">
        <v>104</v>
      </c>
      <c r="G22" s="7" t="s">
        <v>100</v>
      </c>
      <c r="H22" s="8" t="s">
        <v>72</v>
      </c>
      <c r="I22" s="10" t="s">
        <v>14</v>
      </c>
      <c r="J22" s="11">
        <v>1</v>
      </c>
      <c r="K22" s="12">
        <f>2073600/1.12</f>
        <v>1851428.5714285714</v>
      </c>
      <c r="L22" s="13">
        <f t="shared" si="0"/>
        <v>1851428.5714285714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2">
        <f>L22</f>
        <v>1851428.5714285714</v>
      </c>
      <c r="Y22" s="12"/>
      <c r="Z22" s="13">
        <v>1440000</v>
      </c>
      <c r="AA22" s="12">
        <f>L22-Z22</f>
        <v>411428.57142857136</v>
      </c>
      <c r="AB22" s="14" t="s">
        <v>53</v>
      </c>
      <c r="AC22" s="14" t="s">
        <v>15</v>
      </c>
      <c r="AD22" s="15">
        <v>5</v>
      </c>
    </row>
    <row r="23" spans="1:456" s="3" customFormat="1" ht="78" customHeight="1">
      <c r="A23" s="27">
        <v>12</v>
      </c>
      <c r="B23" s="30" t="s">
        <v>120</v>
      </c>
      <c r="C23" s="7" t="s">
        <v>11</v>
      </c>
      <c r="D23" s="7" t="s">
        <v>101</v>
      </c>
      <c r="E23" s="7" t="s">
        <v>101</v>
      </c>
      <c r="F23" s="7" t="s">
        <v>105</v>
      </c>
      <c r="G23" s="7" t="s">
        <v>101</v>
      </c>
      <c r="H23" s="8" t="s">
        <v>72</v>
      </c>
      <c r="I23" s="10" t="s">
        <v>14</v>
      </c>
      <c r="J23" s="11">
        <v>1</v>
      </c>
      <c r="K23" s="12">
        <f>628992/1.12</f>
        <v>561600</v>
      </c>
      <c r="L23" s="13">
        <f t="shared" si="0"/>
        <v>561600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">
        <f>L23</f>
        <v>561600</v>
      </c>
      <c r="Y23" s="12"/>
      <c r="Z23" s="9"/>
      <c r="AA23" s="9"/>
      <c r="AB23" s="57" t="s">
        <v>32</v>
      </c>
      <c r="AC23" s="14" t="s">
        <v>15</v>
      </c>
      <c r="AD23" s="15">
        <v>5</v>
      </c>
    </row>
    <row r="24" spans="1:456" s="2" customFormat="1" ht="47.25">
      <c r="A24" s="29">
        <v>61</v>
      </c>
      <c r="B24" s="46" t="s">
        <v>120</v>
      </c>
      <c r="C24" s="47" t="s">
        <v>22</v>
      </c>
      <c r="D24" s="48" t="s">
        <v>24</v>
      </c>
      <c r="E24" s="48" t="s">
        <v>24</v>
      </c>
      <c r="F24" s="47" t="s">
        <v>122</v>
      </c>
      <c r="G24" s="47" t="s">
        <v>123</v>
      </c>
      <c r="H24" s="49" t="s">
        <v>72</v>
      </c>
      <c r="I24" s="50" t="s">
        <v>87</v>
      </c>
      <c r="J24" s="51">
        <v>2000000</v>
      </c>
      <c r="K24" s="52">
        <v>8.254285715</v>
      </c>
      <c r="L24" s="52">
        <f>J24*K24</f>
        <v>16508571.43</v>
      </c>
      <c r="M24" s="55"/>
      <c r="N24" s="55"/>
      <c r="O24" s="55"/>
      <c r="P24" s="55"/>
      <c r="Q24" s="55"/>
      <c r="R24" s="55"/>
      <c r="S24" s="55"/>
      <c r="T24" s="55"/>
      <c r="U24" s="55"/>
      <c r="V24" s="12">
        <v>-16508571.43</v>
      </c>
      <c r="W24" s="71"/>
      <c r="X24" s="55"/>
      <c r="Y24" s="55"/>
      <c r="Z24" s="55"/>
      <c r="AA24" s="55"/>
      <c r="AB24" s="62" t="s">
        <v>45</v>
      </c>
      <c r="AC24" s="56" t="s">
        <v>15</v>
      </c>
      <c r="AD24" s="53">
        <v>5</v>
      </c>
    </row>
    <row r="25" spans="1:456" s="2" customFormat="1" ht="63">
      <c r="A25" s="9">
        <v>62</v>
      </c>
      <c r="B25" s="9" t="s">
        <v>120</v>
      </c>
      <c r="C25" s="17" t="s">
        <v>11</v>
      </c>
      <c r="D25" s="7" t="s">
        <v>33</v>
      </c>
      <c r="E25" s="7" t="s">
        <v>33</v>
      </c>
      <c r="F25" s="17" t="s">
        <v>124</v>
      </c>
      <c r="G25" s="17" t="s">
        <v>124</v>
      </c>
      <c r="H25" s="33" t="s">
        <v>125</v>
      </c>
      <c r="I25" s="18" t="s">
        <v>14</v>
      </c>
      <c r="J25" s="19">
        <v>1</v>
      </c>
      <c r="K25" s="20"/>
      <c r="L25" s="20"/>
      <c r="M25" s="16"/>
      <c r="N25" s="16"/>
      <c r="O25" s="16"/>
      <c r="P25" s="16"/>
      <c r="Q25" s="59">
        <v>66964.289999999994</v>
      </c>
      <c r="R25" s="20"/>
      <c r="S25" s="20"/>
      <c r="T25" s="20"/>
      <c r="U25" s="20"/>
      <c r="V25" s="20"/>
      <c r="W25" s="20"/>
      <c r="X25" s="20">
        <f>Q25</f>
        <v>66964.289999999994</v>
      </c>
      <c r="Y25" s="20"/>
      <c r="Z25" s="20"/>
      <c r="AA25" s="20"/>
      <c r="AB25" s="62" t="s">
        <v>31</v>
      </c>
      <c r="AC25" s="21" t="s">
        <v>15</v>
      </c>
      <c r="AD25" s="34">
        <v>5</v>
      </c>
    </row>
    <row r="26" spans="1:456" s="2" customFormat="1" ht="63">
      <c r="A26" s="27">
        <v>65</v>
      </c>
      <c r="B26" s="9" t="s">
        <v>120</v>
      </c>
      <c r="C26" s="17" t="s">
        <v>11</v>
      </c>
      <c r="D26" s="7" t="s">
        <v>33</v>
      </c>
      <c r="E26" s="7" t="s">
        <v>33</v>
      </c>
      <c r="F26" s="7" t="s">
        <v>135</v>
      </c>
      <c r="G26" s="7" t="s">
        <v>136</v>
      </c>
      <c r="H26" s="33" t="s">
        <v>72</v>
      </c>
      <c r="I26" s="18" t="s">
        <v>14</v>
      </c>
      <c r="J26" s="19">
        <v>1</v>
      </c>
      <c r="K26" s="20"/>
      <c r="L26" s="20"/>
      <c r="M26" s="16"/>
      <c r="N26" s="16"/>
      <c r="O26" s="16"/>
      <c r="P26" s="16"/>
      <c r="Q26" s="59"/>
      <c r="R26" s="20"/>
      <c r="S26" s="20"/>
      <c r="T26" s="20"/>
      <c r="U26" s="20">
        <v>1250000</v>
      </c>
      <c r="V26" s="20"/>
      <c r="W26" s="20"/>
      <c r="X26" s="20">
        <f>U26</f>
        <v>1250000</v>
      </c>
      <c r="Y26" s="20"/>
      <c r="Z26" s="20"/>
      <c r="AA26" s="20"/>
      <c r="AB26" s="62" t="s">
        <v>45</v>
      </c>
      <c r="AC26" s="21" t="s">
        <v>133</v>
      </c>
      <c r="AD26" s="34">
        <v>5</v>
      </c>
    </row>
    <row r="27" spans="1:456" s="2" customFormat="1" ht="47.25">
      <c r="A27" s="27">
        <v>66</v>
      </c>
      <c r="B27" s="9" t="s">
        <v>120</v>
      </c>
      <c r="C27" s="17" t="s">
        <v>22</v>
      </c>
      <c r="D27" s="7" t="s">
        <v>24</v>
      </c>
      <c r="E27" s="7" t="s">
        <v>24</v>
      </c>
      <c r="F27" s="7" t="s">
        <v>137</v>
      </c>
      <c r="G27" s="7" t="s">
        <v>138</v>
      </c>
      <c r="H27" s="33" t="s">
        <v>72</v>
      </c>
      <c r="I27" s="18" t="s">
        <v>23</v>
      </c>
      <c r="J27" s="19">
        <v>80</v>
      </c>
      <c r="K27" s="20">
        <v>11595</v>
      </c>
      <c r="L27" s="20"/>
      <c r="M27" s="16"/>
      <c r="N27" s="16"/>
      <c r="O27" s="16"/>
      <c r="P27" s="16"/>
      <c r="Q27" s="59"/>
      <c r="R27" s="20"/>
      <c r="S27" s="20"/>
      <c r="T27" s="20"/>
      <c r="U27" s="20">
        <f>J27*K27</f>
        <v>927600</v>
      </c>
      <c r="V27" s="20"/>
      <c r="W27" s="20"/>
      <c r="X27" s="20">
        <f>U27</f>
        <v>927600</v>
      </c>
      <c r="Y27" s="20"/>
      <c r="Z27" s="20"/>
      <c r="AA27" s="20"/>
      <c r="AB27" s="62" t="s">
        <v>32</v>
      </c>
      <c r="AC27" s="21" t="s">
        <v>134</v>
      </c>
      <c r="AD27" s="34">
        <v>0</v>
      </c>
    </row>
    <row r="28" spans="1:456" s="2" customFormat="1" ht="110.25">
      <c r="A28" s="27">
        <v>67</v>
      </c>
      <c r="B28" s="9" t="s">
        <v>120</v>
      </c>
      <c r="C28" s="17" t="s">
        <v>11</v>
      </c>
      <c r="D28" s="7" t="s">
        <v>140</v>
      </c>
      <c r="E28" s="7" t="s">
        <v>140</v>
      </c>
      <c r="F28" s="7" t="s">
        <v>142</v>
      </c>
      <c r="G28" s="7" t="s">
        <v>141</v>
      </c>
      <c r="H28" s="33" t="s">
        <v>116</v>
      </c>
      <c r="I28" s="18" t="s">
        <v>14</v>
      </c>
      <c r="J28" s="19">
        <v>1</v>
      </c>
      <c r="K28" s="20"/>
      <c r="L28" s="20"/>
      <c r="M28" s="16"/>
      <c r="N28" s="16"/>
      <c r="O28" s="16"/>
      <c r="P28" s="16"/>
      <c r="Q28" s="59"/>
      <c r="R28" s="20"/>
      <c r="S28" s="20"/>
      <c r="T28" s="20"/>
      <c r="U28" s="20">
        <v>221000</v>
      </c>
      <c r="V28" s="20"/>
      <c r="W28" s="20"/>
      <c r="X28" s="20">
        <f>U28</f>
        <v>221000</v>
      </c>
      <c r="Y28" s="20"/>
      <c r="Z28" s="20"/>
      <c r="AA28" s="20"/>
      <c r="AB28" s="62" t="s">
        <v>32</v>
      </c>
      <c r="AC28" s="21" t="s">
        <v>139</v>
      </c>
      <c r="AD28" s="34">
        <v>0</v>
      </c>
    </row>
    <row r="29" spans="1:456" s="2" customFormat="1" ht="63">
      <c r="A29" s="27">
        <v>68</v>
      </c>
      <c r="B29" s="9" t="s">
        <v>120</v>
      </c>
      <c r="C29" s="17" t="s">
        <v>22</v>
      </c>
      <c r="D29" s="7" t="s">
        <v>143</v>
      </c>
      <c r="E29" s="7" t="s">
        <v>143</v>
      </c>
      <c r="F29" s="7" t="s">
        <v>144</v>
      </c>
      <c r="G29" s="7" t="s">
        <v>143</v>
      </c>
      <c r="H29" s="33" t="s">
        <v>116</v>
      </c>
      <c r="I29" s="18" t="s">
        <v>23</v>
      </c>
      <c r="J29" s="19">
        <v>100</v>
      </c>
      <c r="K29" s="20">
        <v>318.16964285714283</v>
      </c>
      <c r="L29" s="20"/>
      <c r="M29" s="16"/>
      <c r="N29" s="16"/>
      <c r="O29" s="16"/>
      <c r="P29" s="16"/>
      <c r="Q29" s="59"/>
      <c r="R29" s="20"/>
      <c r="S29" s="20"/>
      <c r="T29" s="20"/>
      <c r="U29" s="20"/>
      <c r="V29" s="20"/>
      <c r="W29" s="20">
        <f t="shared" ref="W29:W34" si="1">J29*K29</f>
        <v>31816.964285714283</v>
      </c>
      <c r="X29" s="20">
        <f t="shared" ref="X29:X34" si="2">W29</f>
        <v>31816.964285714283</v>
      </c>
      <c r="Y29" s="20"/>
      <c r="Z29" s="20"/>
      <c r="AA29" s="20"/>
      <c r="AB29" s="62" t="s">
        <v>32</v>
      </c>
      <c r="AC29" s="21" t="s">
        <v>139</v>
      </c>
      <c r="AD29" s="34">
        <v>0</v>
      </c>
    </row>
    <row r="30" spans="1:456" s="2" customFormat="1" ht="63">
      <c r="A30" s="9">
        <v>69</v>
      </c>
      <c r="B30" s="9" t="s">
        <v>120</v>
      </c>
      <c r="C30" s="17" t="s">
        <v>22</v>
      </c>
      <c r="D30" s="7" t="s">
        <v>145</v>
      </c>
      <c r="E30" s="7" t="s">
        <v>145</v>
      </c>
      <c r="F30" s="7" t="s">
        <v>146</v>
      </c>
      <c r="G30" s="7" t="s">
        <v>145</v>
      </c>
      <c r="H30" s="33" t="s">
        <v>116</v>
      </c>
      <c r="I30" s="18" t="s">
        <v>23</v>
      </c>
      <c r="J30" s="19">
        <v>100</v>
      </c>
      <c r="K30" s="20">
        <v>1216.2678571428571</v>
      </c>
      <c r="L30" s="20"/>
      <c r="M30" s="16"/>
      <c r="N30" s="16"/>
      <c r="O30" s="16"/>
      <c r="P30" s="16"/>
      <c r="Q30" s="59"/>
      <c r="R30" s="20"/>
      <c r="S30" s="20"/>
      <c r="T30" s="20"/>
      <c r="U30" s="20"/>
      <c r="V30" s="20"/>
      <c r="W30" s="20">
        <f t="shared" si="1"/>
        <v>121626.78571428571</v>
      </c>
      <c r="X30" s="20">
        <f t="shared" si="2"/>
        <v>121626.78571428571</v>
      </c>
      <c r="Y30" s="20"/>
      <c r="Z30" s="20"/>
      <c r="AA30" s="20"/>
      <c r="AB30" s="62" t="s">
        <v>32</v>
      </c>
      <c r="AC30" s="21" t="s">
        <v>139</v>
      </c>
      <c r="AD30" s="34">
        <v>0</v>
      </c>
    </row>
    <row r="31" spans="1:456" s="2" customFormat="1" ht="63">
      <c r="A31" s="9">
        <v>71</v>
      </c>
      <c r="B31" s="17" t="s">
        <v>120</v>
      </c>
      <c r="C31" s="7" t="s">
        <v>22</v>
      </c>
      <c r="D31" s="7" t="s">
        <v>147</v>
      </c>
      <c r="E31" s="7" t="s">
        <v>147</v>
      </c>
      <c r="F31" s="7" t="s">
        <v>148</v>
      </c>
      <c r="G31" s="33" t="s">
        <v>147</v>
      </c>
      <c r="H31" s="18" t="s">
        <v>116</v>
      </c>
      <c r="I31" s="19" t="s">
        <v>23</v>
      </c>
      <c r="J31" s="20">
        <v>1</v>
      </c>
      <c r="K31" s="12">
        <f>49535/1.12</f>
        <v>44227.678571428565</v>
      </c>
      <c r="L31" s="20"/>
      <c r="M31" s="16"/>
      <c r="N31" s="16"/>
      <c r="O31" s="16"/>
      <c r="P31" s="16"/>
      <c r="Q31" s="59"/>
      <c r="R31" s="20"/>
      <c r="S31" s="20"/>
      <c r="T31" s="20"/>
      <c r="U31" s="20"/>
      <c r="V31" s="20"/>
      <c r="W31" s="20">
        <f t="shared" si="1"/>
        <v>44227.678571428565</v>
      </c>
      <c r="X31" s="20">
        <f t="shared" si="2"/>
        <v>44227.678571428565</v>
      </c>
      <c r="Y31" s="20"/>
      <c r="Z31" s="20"/>
      <c r="AA31" s="20"/>
      <c r="AB31" s="62" t="s">
        <v>32</v>
      </c>
      <c r="AC31" s="21" t="s">
        <v>139</v>
      </c>
      <c r="AD31" s="34">
        <v>0</v>
      </c>
    </row>
    <row r="32" spans="1:456" s="2" customFormat="1" ht="63">
      <c r="A32" s="9">
        <v>72</v>
      </c>
      <c r="B32" s="17" t="s">
        <v>120</v>
      </c>
      <c r="C32" s="7" t="s">
        <v>22</v>
      </c>
      <c r="D32" s="7" t="s">
        <v>149</v>
      </c>
      <c r="E32" s="7" t="s">
        <v>149</v>
      </c>
      <c r="F32" s="7" t="s">
        <v>150</v>
      </c>
      <c r="G32" s="33" t="s">
        <v>151</v>
      </c>
      <c r="H32" s="18" t="s">
        <v>116</v>
      </c>
      <c r="I32" s="19" t="s">
        <v>23</v>
      </c>
      <c r="J32" s="20">
        <v>50</v>
      </c>
      <c r="K32" s="12">
        <f>2638.7/1.12</f>
        <v>2355.9821428571427</v>
      </c>
      <c r="L32" s="20"/>
      <c r="M32" s="16"/>
      <c r="N32" s="16"/>
      <c r="O32" s="16"/>
      <c r="P32" s="16"/>
      <c r="Q32" s="59"/>
      <c r="R32" s="20"/>
      <c r="S32" s="20"/>
      <c r="T32" s="20"/>
      <c r="U32" s="20"/>
      <c r="V32" s="20"/>
      <c r="W32" s="20">
        <f t="shared" si="1"/>
        <v>117799.10714285713</v>
      </c>
      <c r="X32" s="20">
        <f t="shared" si="2"/>
        <v>117799.10714285713</v>
      </c>
      <c r="Y32" s="20"/>
      <c r="Z32" s="20"/>
      <c r="AA32" s="20"/>
      <c r="AB32" s="62" t="s">
        <v>32</v>
      </c>
      <c r="AC32" s="21" t="s">
        <v>139</v>
      </c>
      <c r="AD32" s="34">
        <v>0</v>
      </c>
    </row>
    <row r="33" spans="1:30" s="2" customFormat="1" ht="63">
      <c r="A33" s="9">
        <v>73</v>
      </c>
      <c r="B33" s="17" t="s">
        <v>120</v>
      </c>
      <c r="C33" s="7" t="s">
        <v>22</v>
      </c>
      <c r="D33" s="7" t="s">
        <v>152</v>
      </c>
      <c r="E33" s="7" t="s">
        <v>152</v>
      </c>
      <c r="F33" s="7" t="s">
        <v>153</v>
      </c>
      <c r="G33" s="33" t="s">
        <v>154</v>
      </c>
      <c r="H33" s="18" t="s">
        <v>116</v>
      </c>
      <c r="I33" s="19" t="s">
        <v>23</v>
      </c>
      <c r="J33" s="20">
        <v>2</v>
      </c>
      <c r="K33" s="12">
        <f>53346/1.12</f>
        <v>47630.357142857138</v>
      </c>
      <c r="L33" s="20"/>
      <c r="M33" s="16"/>
      <c r="N33" s="16"/>
      <c r="O33" s="16"/>
      <c r="P33" s="16"/>
      <c r="Q33" s="59"/>
      <c r="R33" s="20"/>
      <c r="S33" s="20"/>
      <c r="T33" s="20"/>
      <c r="U33" s="20"/>
      <c r="V33" s="20"/>
      <c r="W33" s="20">
        <f t="shared" si="1"/>
        <v>95260.714285714275</v>
      </c>
      <c r="X33" s="20">
        <f t="shared" si="2"/>
        <v>95260.714285714275</v>
      </c>
      <c r="Y33" s="20"/>
      <c r="Z33" s="20"/>
      <c r="AA33" s="20"/>
      <c r="AB33" s="62" t="s">
        <v>32</v>
      </c>
      <c r="AC33" s="21" t="s">
        <v>139</v>
      </c>
      <c r="AD33" s="34">
        <v>0</v>
      </c>
    </row>
    <row r="34" spans="1:30" s="2" customFormat="1" ht="63">
      <c r="A34" s="9">
        <v>74</v>
      </c>
      <c r="B34" s="17" t="s">
        <v>120</v>
      </c>
      <c r="C34" s="7" t="s">
        <v>22</v>
      </c>
      <c r="D34" s="7" t="s">
        <v>155</v>
      </c>
      <c r="E34" s="7" t="s">
        <v>155</v>
      </c>
      <c r="F34" s="7" t="s">
        <v>156</v>
      </c>
      <c r="G34" s="33" t="s">
        <v>157</v>
      </c>
      <c r="H34" s="18" t="s">
        <v>116</v>
      </c>
      <c r="I34" s="19" t="s">
        <v>23</v>
      </c>
      <c r="J34" s="20">
        <v>2</v>
      </c>
      <c r="K34" s="12">
        <f>14300/1.12</f>
        <v>12767.857142857141</v>
      </c>
      <c r="L34" s="20"/>
      <c r="M34" s="16"/>
      <c r="N34" s="16"/>
      <c r="O34" s="16"/>
      <c r="P34" s="16"/>
      <c r="Q34" s="59"/>
      <c r="R34" s="20"/>
      <c r="S34" s="20"/>
      <c r="T34" s="20"/>
      <c r="U34" s="20"/>
      <c r="V34" s="20"/>
      <c r="W34" s="20">
        <f t="shared" si="1"/>
        <v>25535.714285714283</v>
      </c>
      <c r="X34" s="20">
        <f t="shared" si="2"/>
        <v>25535.714285714283</v>
      </c>
      <c r="Y34" s="20"/>
      <c r="Z34" s="20"/>
      <c r="AA34" s="20"/>
      <c r="AB34" s="62" t="s">
        <v>32</v>
      </c>
      <c r="AC34" s="21" t="s">
        <v>139</v>
      </c>
      <c r="AD34" s="34">
        <v>0</v>
      </c>
    </row>
    <row r="35" spans="1:30" ht="49.15" customHeight="1">
      <c r="E35" s="120"/>
      <c r="F35" s="120"/>
      <c r="X35" s="72">
        <f>SUM(X14:X34)</f>
        <v>34643663.241428569</v>
      </c>
      <c r="Y35" s="72"/>
    </row>
    <row r="36" spans="1:30" ht="18.75">
      <c r="D36" s="125" t="s">
        <v>56</v>
      </c>
      <c r="E36" s="126"/>
      <c r="F36" s="5"/>
      <c r="G36" s="66" t="s">
        <v>74</v>
      </c>
      <c r="I36" s="127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</row>
    <row r="38" spans="1:30" ht="18.75">
      <c r="D38" s="119" t="s">
        <v>57</v>
      </c>
      <c r="E38" s="119"/>
      <c r="F38" s="119"/>
      <c r="G38" s="66" t="s">
        <v>75</v>
      </c>
      <c r="K38" s="66" t="s">
        <v>83</v>
      </c>
    </row>
    <row r="39" spans="1:30" ht="18.75">
      <c r="D39" s="65"/>
      <c r="E39" s="65"/>
      <c r="F39" s="65"/>
      <c r="G39" s="66"/>
      <c r="L39" s="22" t="s">
        <v>80</v>
      </c>
    </row>
    <row r="41" spans="1:30" ht="18.75">
      <c r="D41" s="119" t="s">
        <v>76</v>
      </c>
      <c r="E41" s="119"/>
      <c r="F41" s="119"/>
      <c r="G41" s="66" t="s">
        <v>77</v>
      </c>
    </row>
    <row r="42" spans="1:30" ht="18.75">
      <c r="D42" s="65"/>
      <c r="E42" s="65"/>
      <c r="F42" s="65"/>
      <c r="L42" s="22" t="s">
        <v>81</v>
      </c>
    </row>
    <row r="43" spans="1:30" ht="18.75">
      <c r="D43" s="119" t="s">
        <v>113</v>
      </c>
      <c r="E43" s="119"/>
      <c r="G43" s="66" t="s">
        <v>89</v>
      </c>
    </row>
    <row r="44" spans="1:30" ht="18.75">
      <c r="I44" s="22"/>
      <c r="J44" s="22"/>
      <c r="L44" s="22" t="s">
        <v>114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8.7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ht="18.75">
      <c r="D46" s="119" t="s">
        <v>59</v>
      </c>
      <c r="E46" s="119"/>
      <c r="G46" s="66" t="s">
        <v>78</v>
      </c>
      <c r="I46" s="22"/>
      <c r="J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ht="18.75">
      <c r="I47" s="22"/>
      <c r="J47" s="22"/>
      <c r="K47" s="22"/>
      <c r="L47" s="22" t="s">
        <v>64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18.75">
      <c r="I48" s="22"/>
      <c r="J48" s="22"/>
      <c r="K48" s="22" t="s">
        <v>64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4:30" ht="18.75">
      <c r="D49" s="119" t="s">
        <v>60</v>
      </c>
      <c r="E49" s="119"/>
      <c r="F49" s="119"/>
      <c r="G49" s="66" t="s">
        <v>79</v>
      </c>
      <c r="I49" s="22" t="s">
        <v>62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4:30" ht="18.7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5" spans="4:30" ht="15.75">
      <c r="I55" s="119" t="s">
        <v>58</v>
      </c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</row>
    <row r="56" spans="4:30" ht="18.75">
      <c r="I56" s="22"/>
      <c r="J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4:30" ht="18.75">
      <c r="I57" s="22"/>
      <c r="J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4:30" ht="18.75">
      <c r="I58" s="22"/>
      <c r="J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4:30" ht="18.75">
      <c r="I59" s="22" t="s">
        <v>61</v>
      </c>
      <c r="J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</sheetData>
  <mergeCells count="39">
    <mergeCell ref="A6:K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T10:T11"/>
    <mergeCell ref="U10:U11"/>
    <mergeCell ref="J10:J11"/>
    <mergeCell ref="K10:K11"/>
    <mergeCell ref="L10:L11"/>
    <mergeCell ref="M10:M11"/>
    <mergeCell ref="N10:N11"/>
    <mergeCell ref="O10:O11"/>
    <mergeCell ref="I55:AD55"/>
    <mergeCell ref="AC10:AC11"/>
    <mergeCell ref="AD10:AD11"/>
    <mergeCell ref="E35:F35"/>
    <mergeCell ref="D36:E36"/>
    <mergeCell ref="I36:AD36"/>
    <mergeCell ref="V10:V11"/>
    <mergeCell ref="W10:W11"/>
    <mergeCell ref="X10:X11"/>
    <mergeCell ref="Z10:Z11"/>
    <mergeCell ref="AA10:AA11"/>
    <mergeCell ref="AB10:AB11"/>
    <mergeCell ref="P10:P11"/>
    <mergeCell ref="Q10:Q11"/>
    <mergeCell ref="R10:R11"/>
    <mergeCell ref="S10:S11"/>
    <mergeCell ref="D38:F38"/>
    <mergeCell ref="D41:F41"/>
    <mergeCell ref="D43:E43"/>
    <mergeCell ref="D46:E46"/>
    <mergeCell ref="D49:F49"/>
  </mergeCells>
  <dataValidations xWindow="1243" yWindow="545" count="5">
    <dataValidation type="list" allowBlank="1" showInputMessage="1" showErrorMessage="1" sqref="AB14 AB24:AB34">
      <formula1>Месяц</formula1>
    </dataValidation>
    <dataValidation type="decimal" operator="greaterThan" allowBlank="1" showInputMessage="1" showErrorMessage="1" prompt="Введите прогнозируемую сумму на третий год" sqref="V25:W25 X24:AA25 M24:U25 M26:AA34">
      <formula1>0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D24:AD34">
      <formula1>0</formula1>
      <formula2>100</formula2>
    </dataValidation>
    <dataValidation allowBlank="1" showInputMessage="1" showErrorMessage="1" prompt="Единица измерения заполняется автоматически в соответствии с КТРУ" sqref="I24:I34"/>
    <dataValidation type="list" allowBlank="1" showInputMessage="1" showErrorMessage="1" sqref="AC24:AC34">
      <formula1>КАТО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X155"/>
  <sheetViews>
    <sheetView tabSelected="1" zoomScale="67" zoomScaleNormal="67" workbookViewId="0">
      <selection activeCell="D9" sqref="D9"/>
    </sheetView>
  </sheetViews>
  <sheetFormatPr defaultColWidth="8.85546875" defaultRowHeight="15"/>
  <cols>
    <col min="1" max="1" width="6" style="75" customWidth="1"/>
    <col min="2" max="2" width="14" style="75" customWidth="1"/>
    <col min="3" max="3" width="13.28515625" style="75" customWidth="1"/>
    <col min="4" max="4" width="35.28515625" style="75" customWidth="1"/>
    <col min="5" max="5" width="33" style="75" customWidth="1"/>
    <col min="6" max="6" width="24.42578125" style="75" customWidth="1"/>
    <col min="7" max="7" width="16.28515625" style="75" customWidth="1"/>
    <col min="8" max="8" width="13.28515625" style="75" customWidth="1"/>
    <col min="9" max="9" width="18.42578125" style="75" customWidth="1"/>
    <col min="10" max="10" width="15.42578125" style="75" customWidth="1"/>
    <col min="11" max="11" width="16.85546875" style="75" customWidth="1"/>
    <col min="12" max="12" width="18.28515625" style="75" customWidth="1"/>
    <col min="13" max="13" width="19.85546875" style="75" customWidth="1"/>
    <col min="14" max="14" width="14.140625" style="75" customWidth="1"/>
    <col min="15" max="15" width="17.85546875" style="75" customWidth="1"/>
    <col min="16" max="16" width="12.140625" style="75" customWidth="1"/>
    <col min="17" max="17" width="10.5703125" style="75" customWidth="1"/>
    <col min="18" max="19" width="8.85546875" style="75"/>
    <col min="20" max="21" width="9.7109375" style="75" bestFit="1" customWidth="1"/>
    <col min="22" max="16384" width="8.85546875" style="75"/>
  </cols>
  <sheetData>
    <row r="1" spans="1:440" ht="15.75">
      <c r="L1" s="26" t="s">
        <v>82</v>
      </c>
      <c r="M1" s="26"/>
    </row>
    <row r="2" spans="1:440" ht="23.45" customHeight="1">
      <c r="A2" s="135" t="s">
        <v>218</v>
      </c>
      <c r="B2" s="135"/>
      <c r="C2" s="135"/>
      <c r="D2" s="120"/>
      <c r="E2" s="120"/>
      <c r="F2" s="120"/>
      <c r="G2" s="120"/>
      <c r="H2" s="120"/>
      <c r="I2" s="120"/>
      <c r="L2" s="26" t="s">
        <v>199</v>
      </c>
      <c r="M2" s="26"/>
    </row>
    <row r="3" spans="1:440" ht="24" customHeight="1" thickBot="1"/>
    <row r="4" spans="1:440" ht="39.6" customHeight="1" thickBot="1">
      <c r="C4" s="23" t="s">
        <v>63</v>
      </c>
      <c r="D4" s="23" t="s">
        <v>73</v>
      </c>
      <c r="E4" s="25" t="s">
        <v>0</v>
      </c>
      <c r="F4" s="23" t="s">
        <v>372</v>
      </c>
    </row>
    <row r="5" spans="1:440" ht="27.6" customHeight="1" thickBot="1"/>
    <row r="6" spans="1:440" s="1" customFormat="1" ht="12" customHeight="1">
      <c r="A6" s="154" t="s">
        <v>1</v>
      </c>
      <c r="B6" s="156" t="s">
        <v>118</v>
      </c>
      <c r="C6" s="154" t="s">
        <v>2</v>
      </c>
      <c r="D6" s="154" t="s">
        <v>65</v>
      </c>
      <c r="E6" s="156" t="s">
        <v>66</v>
      </c>
      <c r="F6" s="154" t="s">
        <v>3</v>
      </c>
      <c r="G6" s="160" t="s">
        <v>69</v>
      </c>
      <c r="H6" s="162" t="s">
        <v>4</v>
      </c>
      <c r="I6" s="164" t="s">
        <v>369</v>
      </c>
      <c r="J6" s="146" t="s">
        <v>370</v>
      </c>
      <c r="K6" s="148" t="s">
        <v>371</v>
      </c>
      <c r="L6" s="150" t="s">
        <v>200</v>
      </c>
      <c r="M6" s="148" t="s">
        <v>9</v>
      </c>
      <c r="N6" s="152" t="s">
        <v>10</v>
      </c>
    </row>
    <row r="7" spans="1:440" s="1" customFormat="1" ht="110.45" customHeight="1" thickBot="1">
      <c r="A7" s="155"/>
      <c r="B7" s="157"/>
      <c r="C7" s="158"/>
      <c r="D7" s="158"/>
      <c r="E7" s="159"/>
      <c r="F7" s="155"/>
      <c r="G7" s="161"/>
      <c r="H7" s="163"/>
      <c r="I7" s="165"/>
      <c r="J7" s="147"/>
      <c r="K7" s="149"/>
      <c r="L7" s="151"/>
      <c r="M7" s="149"/>
      <c r="N7" s="153"/>
    </row>
    <row r="8" spans="1:440" s="1" customFormat="1" ht="16.5" thickBot="1">
      <c r="A8" s="106">
        <v>0</v>
      </c>
      <c r="B8" s="107">
        <v>1</v>
      </c>
      <c r="C8" s="108">
        <v>2</v>
      </c>
      <c r="D8" s="107">
        <v>3</v>
      </c>
      <c r="E8" s="108">
        <v>4</v>
      </c>
      <c r="F8" s="107">
        <v>5</v>
      </c>
      <c r="G8" s="108">
        <v>6</v>
      </c>
      <c r="H8" s="107">
        <v>7</v>
      </c>
      <c r="I8" s="108">
        <v>8</v>
      </c>
      <c r="J8" s="110" t="s">
        <v>374</v>
      </c>
      <c r="K8" s="107">
        <v>10</v>
      </c>
      <c r="L8" s="108">
        <v>11</v>
      </c>
      <c r="M8" s="107">
        <v>12</v>
      </c>
      <c r="N8" s="109" t="s">
        <v>373</v>
      </c>
    </row>
    <row r="9" spans="1:440" s="1" customFormat="1" ht="45.6" customHeight="1">
      <c r="A9" s="98">
        <v>1</v>
      </c>
      <c r="B9" s="99" t="s">
        <v>120</v>
      </c>
      <c r="C9" s="87" t="s">
        <v>11</v>
      </c>
      <c r="D9" s="100" t="s">
        <v>16</v>
      </c>
      <c r="E9" s="100" t="s">
        <v>17</v>
      </c>
      <c r="F9" s="101" t="s">
        <v>72</v>
      </c>
      <c r="G9" s="102" t="s">
        <v>14</v>
      </c>
      <c r="H9" s="103">
        <v>1</v>
      </c>
      <c r="I9" s="104">
        <f>44*125500</f>
        <v>5522000</v>
      </c>
      <c r="J9" s="105">
        <f>H9*I9</f>
        <v>5522000</v>
      </c>
      <c r="K9" s="28" t="s">
        <v>206</v>
      </c>
      <c r="L9" s="87" t="s">
        <v>201</v>
      </c>
      <c r="M9" s="28" t="s">
        <v>15</v>
      </c>
      <c r="N9" s="115">
        <v>0</v>
      </c>
    </row>
    <row r="10" spans="1:440" s="1" customFormat="1" ht="40.15" customHeight="1">
      <c r="A10" s="27">
        <v>2</v>
      </c>
      <c r="B10" s="9" t="s">
        <v>120</v>
      </c>
      <c r="C10" s="7" t="s">
        <v>11</v>
      </c>
      <c r="D10" s="85" t="s">
        <v>166</v>
      </c>
      <c r="E10" s="85" t="s">
        <v>165</v>
      </c>
      <c r="F10" s="8" t="s">
        <v>72</v>
      </c>
      <c r="G10" s="10" t="s">
        <v>14</v>
      </c>
      <c r="H10" s="11">
        <v>1</v>
      </c>
      <c r="I10" s="12">
        <f>44*92000</f>
        <v>4048000</v>
      </c>
      <c r="J10" s="13">
        <f>H10*I10</f>
        <v>4048000</v>
      </c>
      <c r="K10" s="28" t="s">
        <v>206</v>
      </c>
      <c r="L10" s="7" t="s">
        <v>201</v>
      </c>
      <c r="M10" s="14" t="s">
        <v>15</v>
      </c>
      <c r="N10" s="15">
        <v>0</v>
      </c>
    </row>
    <row r="11" spans="1:440" s="1" customFormat="1" ht="63">
      <c r="A11" s="27">
        <v>3</v>
      </c>
      <c r="B11" s="9" t="s">
        <v>120</v>
      </c>
      <c r="C11" s="7" t="s">
        <v>11</v>
      </c>
      <c r="D11" s="85" t="s">
        <v>12</v>
      </c>
      <c r="E11" s="85" t="s">
        <v>13</v>
      </c>
      <c r="F11" s="8" t="s">
        <v>116</v>
      </c>
      <c r="G11" s="10" t="s">
        <v>14</v>
      </c>
      <c r="H11" s="11">
        <v>1</v>
      </c>
      <c r="I11" s="12">
        <v>156986.60399999999</v>
      </c>
      <c r="J11" s="13">
        <f>H11*I11</f>
        <v>156986.60399999999</v>
      </c>
      <c r="K11" s="7" t="s">
        <v>207</v>
      </c>
      <c r="L11" s="7" t="s">
        <v>202</v>
      </c>
      <c r="M11" s="14" t="s">
        <v>15</v>
      </c>
      <c r="N11" s="15">
        <v>0</v>
      </c>
    </row>
    <row r="12" spans="1:440" s="1" customFormat="1" ht="63">
      <c r="A12" s="27">
        <v>4</v>
      </c>
      <c r="B12" s="9" t="s">
        <v>120</v>
      </c>
      <c r="C12" s="7" t="s">
        <v>11</v>
      </c>
      <c r="D12" s="85" t="s">
        <v>167</v>
      </c>
      <c r="E12" s="85" t="s">
        <v>18</v>
      </c>
      <c r="F12" s="8" t="s">
        <v>159</v>
      </c>
      <c r="G12" s="10" t="s">
        <v>14</v>
      </c>
      <c r="H12" s="11">
        <v>1</v>
      </c>
      <c r="I12" s="12">
        <f>619438.5792</f>
        <v>619438.57920000004</v>
      </c>
      <c r="J12" s="13">
        <f>H12*I12</f>
        <v>619438.57920000004</v>
      </c>
      <c r="K12" s="28" t="s">
        <v>206</v>
      </c>
      <c r="L12" s="7" t="s">
        <v>201</v>
      </c>
      <c r="M12" s="14" t="s">
        <v>15</v>
      </c>
      <c r="N12" s="15">
        <v>0</v>
      </c>
    </row>
    <row r="13" spans="1:440" s="4" customFormat="1" ht="63">
      <c r="A13" s="27">
        <v>5</v>
      </c>
      <c r="B13" s="9" t="s">
        <v>120</v>
      </c>
      <c r="C13" s="7" t="s">
        <v>22</v>
      </c>
      <c r="D13" s="85" t="s">
        <v>210</v>
      </c>
      <c r="E13" s="85" t="s">
        <v>28</v>
      </c>
      <c r="F13" s="8" t="s">
        <v>159</v>
      </c>
      <c r="G13" s="10" t="s">
        <v>23</v>
      </c>
      <c r="H13" s="11">
        <v>15</v>
      </c>
      <c r="I13" s="12">
        <f>140094.9333/1.12</f>
        <v>125084.761875</v>
      </c>
      <c r="J13" s="13">
        <f>H13*I13</f>
        <v>1876271.4281249999</v>
      </c>
      <c r="K13" s="28" t="s">
        <v>206</v>
      </c>
      <c r="L13" s="7" t="s">
        <v>204</v>
      </c>
      <c r="M13" s="14" t="s">
        <v>15</v>
      </c>
      <c r="N13" s="15"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</row>
    <row r="14" spans="1:440" s="4" customFormat="1" ht="39" customHeight="1">
      <c r="A14" s="27">
        <v>6</v>
      </c>
      <c r="B14" s="9" t="s">
        <v>120</v>
      </c>
      <c r="C14" s="73" t="s">
        <v>22</v>
      </c>
      <c r="D14" s="86" t="s">
        <v>122</v>
      </c>
      <c r="E14" s="86" t="s">
        <v>123</v>
      </c>
      <c r="F14" s="8" t="s">
        <v>72</v>
      </c>
      <c r="G14" s="18" t="s">
        <v>87</v>
      </c>
      <c r="H14" s="19">
        <v>1000000</v>
      </c>
      <c r="I14" s="20">
        <f>10.1024/1.12</f>
        <v>9.0199999999999978</v>
      </c>
      <c r="J14" s="20">
        <f t="shared" ref="J14:J34" si="0">H14*I14</f>
        <v>9019999.9999999981</v>
      </c>
      <c r="K14" s="28" t="s">
        <v>206</v>
      </c>
      <c r="L14" s="7" t="s">
        <v>348</v>
      </c>
      <c r="M14" s="14" t="s">
        <v>15</v>
      </c>
      <c r="N14" s="15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</row>
    <row r="15" spans="1:440" s="4" customFormat="1" ht="36.6" customHeight="1">
      <c r="A15" s="27">
        <v>7</v>
      </c>
      <c r="B15" s="9" t="s">
        <v>120</v>
      </c>
      <c r="C15" s="73" t="s">
        <v>22</v>
      </c>
      <c r="D15" s="86" t="s">
        <v>122</v>
      </c>
      <c r="E15" s="86" t="s">
        <v>123</v>
      </c>
      <c r="F15" s="8" t="s">
        <v>72</v>
      </c>
      <c r="G15" s="18" t="s">
        <v>87</v>
      </c>
      <c r="H15" s="19">
        <v>1000000</v>
      </c>
      <c r="I15" s="20">
        <f>10.1024/1.12</f>
        <v>9.0199999999999978</v>
      </c>
      <c r="J15" s="20">
        <f t="shared" si="0"/>
        <v>9019999.9999999981</v>
      </c>
      <c r="K15" s="28" t="s">
        <v>207</v>
      </c>
      <c r="L15" s="7" t="s">
        <v>202</v>
      </c>
      <c r="M15" s="14" t="s">
        <v>15</v>
      </c>
      <c r="N15" s="15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</row>
    <row r="16" spans="1:440" s="4" customFormat="1" ht="63">
      <c r="A16" s="27">
        <v>8</v>
      </c>
      <c r="B16" s="9" t="s">
        <v>120</v>
      </c>
      <c r="C16" s="7" t="s">
        <v>22</v>
      </c>
      <c r="D16" s="85" t="s">
        <v>321</v>
      </c>
      <c r="E16" s="85" t="s">
        <v>219</v>
      </c>
      <c r="F16" s="8" t="s">
        <v>159</v>
      </c>
      <c r="G16" s="10" t="s">
        <v>23</v>
      </c>
      <c r="H16" s="11">
        <v>100</v>
      </c>
      <c r="I16" s="12">
        <f>7178/1.12</f>
        <v>6408.9285714285706</v>
      </c>
      <c r="J16" s="20">
        <f t="shared" si="0"/>
        <v>640892.85714285704</v>
      </c>
      <c r="K16" s="28" t="s">
        <v>206</v>
      </c>
      <c r="L16" s="7" t="s">
        <v>206</v>
      </c>
      <c r="M16" s="14" t="s">
        <v>15</v>
      </c>
      <c r="N16" s="15"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</row>
    <row r="17" spans="1:440" s="4" customFormat="1" ht="63">
      <c r="A17" s="27">
        <v>9</v>
      </c>
      <c r="B17" s="9" t="s">
        <v>120</v>
      </c>
      <c r="C17" s="7" t="s">
        <v>22</v>
      </c>
      <c r="D17" s="85" t="s">
        <v>25</v>
      </c>
      <c r="E17" s="85" t="s">
        <v>26</v>
      </c>
      <c r="F17" s="8" t="s">
        <v>116</v>
      </c>
      <c r="G17" s="10" t="s">
        <v>23</v>
      </c>
      <c r="H17" s="11">
        <v>100</v>
      </c>
      <c r="I17" s="12">
        <f>2630.32/1.12</f>
        <v>2348.5</v>
      </c>
      <c r="J17" s="20">
        <f t="shared" si="0"/>
        <v>234850</v>
      </c>
      <c r="K17" s="28" t="s">
        <v>206</v>
      </c>
      <c r="L17" s="7" t="s">
        <v>206</v>
      </c>
      <c r="M17" s="14" t="s">
        <v>15</v>
      </c>
      <c r="N17" s="15"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</row>
    <row r="18" spans="1:440" s="4" customFormat="1" ht="63">
      <c r="A18" s="27">
        <v>10</v>
      </c>
      <c r="B18" s="9" t="s">
        <v>120</v>
      </c>
      <c r="C18" s="7" t="s">
        <v>11</v>
      </c>
      <c r="D18" s="85" t="s">
        <v>302</v>
      </c>
      <c r="E18" s="85" t="s">
        <v>301</v>
      </c>
      <c r="F18" s="8" t="s">
        <v>159</v>
      </c>
      <c r="G18" s="10" t="s">
        <v>14</v>
      </c>
      <c r="H18" s="11">
        <v>1</v>
      </c>
      <c r="I18" s="12">
        <f>1790725/1.12</f>
        <v>1598861.607142857</v>
      </c>
      <c r="J18" s="13">
        <f t="shared" si="0"/>
        <v>1598861.607142857</v>
      </c>
      <c r="K18" s="28" t="s">
        <v>206</v>
      </c>
      <c r="L18" s="7" t="s">
        <v>206</v>
      </c>
      <c r="M18" s="14" t="s">
        <v>15</v>
      </c>
      <c r="N18" s="15"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</row>
    <row r="19" spans="1:440" s="4" customFormat="1" ht="36.6" customHeight="1">
      <c r="A19" s="27">
        <v>11</v>
      </c>
      <c r="B19" s="9" t="s">
        <v>120</v>
      </c>
      <c r="C19" s="7" t="s">
        <v>11</v>
      </c>
      <c r="D19" s="85" t="s">
        <v>322</v>
      </c>
      <c r="E19" s="85" t="s">
        <v>222</v>
      </c>
      <c r="F19" s="8" t="s">
        <v>72</v>
      </c>
      <c r="G19" s="10" t="s">
        <v>14</v>
      </c>
      <c r="H19" s="11">
        <v>1</v>
      </c>
      <c r="I19" s="12">
        <f>13234438/1.12</f>
        <v>11816462.499999998</v>
      </c>
      <c r="J19" s="13">
        <f t="shared" si="0"/>
        <v>11816462.499999998</v>
      </c>
      <c r="K19" s="28" t="s">
        <v>206</v>
      </c>
      <c r="L19" s="7" t="s">
        <v>201</v>
      </c>
      <c r="M19" s="14" t="s">
        <v>15</v>
      </c>
      <c r="N19" s="15"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</row>
    <row r="20" spans="1:440" s="4" customFormat="1" ht="42.6" customHeight="1">
      <c r="A20" s="27">
        <v>12</v>
      </c>
      <c r="B20" s="9" t="s">
        <v>120</v>
      </c>
      <c r="C20" s="7" t="s">
        <v>11</v>
      </c>
      <c r="D20" s="85" t="s">
        <v>168</v>
      </c>
      <c r="E20" s="85" t="s">
        <v>169</v>
      </c>
      <c r="F20" s="8" t="s">
        <v>72</v>
      </c>
      <c r="G20" s="10" t="s">
        <v>14</v>
      </c>
      <c r="H20" s="11">
        <v>1</v>
      </c>
      <c r="I20" s="12">
        <f>16100000/1.12</f>
        <v>14374999.999999998</v>
      </c>
      <c r="J20" s="13">
        <f>I20</f>
        <v>14374999.999999998</v>
      </c>
      <c r="K20" s="28" t="s">
        <v>206</v>
      </c>
      <c r="L20" s="7" t="s">
        <v>201</v>
      </c>
      <c r="M20" s="14" t="s">
        <v>15</v>
      </c>
      <c r="N20" s="15">
        <v>0</v>
      </c>
      <c r="O20" s="11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</row>
    <row r="21" spans="1:440" s="4" customFormat="1" ht="52.9" customHeight="1">
      <c r="A21" s="27">
        <v>13</v>
      </c>
      <c r="B21" s="9" t="s">
        <v>120</v>
      </c>
      <c r="C21" s="7" t="s">
        <v>11</v>
      </c>
      <c r="D21" s="85" t="s">
        <v>354</v>
      </c>
      <c r="E21" s="85" t="s">
        <v>351</v>
      </c>
      <c r="F21" s="8" t="s">
        <v>72</v>
      </c>
      <c r="G21" s="10" t="s">
        <v>14</v>
      </c>
      <c r="H21" s="11">
        <v>1</v>
      </c>
      <c r="I21" s="12">
        <f>7546324.4/1.12</f>
        <v>6737789.6428571427</v>
      </c>
      <c r="J21" s="13">
        <f>H21*I21</f>
        <v>6737789.6428571427</v>
      </c>
      <c r="K21" s="28" t="s">
        <v>206</v>
      </c>
      <c r="L21" s="7" t="s">
        <v>201</v>
      </c>
      <c r="M21" s="14" t="s">
        <v>15</v>
      </c>
      <c r="N21" s="15"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</row>
    <row r="22" spans="1:440" s="4" customFormat="1" ht="38.450000000000003" customHeight="1">
      <c r="A22" s="27">
        <v>14</v>
      </c>
      <c r="B22" s="9" t="s">
        <v>120</v>
      </c>
      <c r="C22" s="7" t="s">
        <v>11</v>
      </c>
      <c r="D22" s="85" t="s">
        <v>355</v>
      </c>
      <c r="E22" s="85" t="s">
        <v>352</v>
      </c>
      <c r="F22" s="8" t="s">
        <v>72</v>
      </c>
      <c r="G22" s="10" t="s">
        <v>14</v>
      </c>
      <c r="H22" s="11">
        <v>1</v>
      </c>
      <c r="I22" s="12">
        <f>2822400/1.12</f>
        <v>2519999.9999999995</v>
      </c>
      <c r="J22" s="13">
        <f>H22*I22</f>
        <v>2519999.9999999995</v>
      </c>
      <c r="K22" s="28" t="s">
        <v>206</v>
      </c>
      <c r="L22" s="7" t="s">
        <v>201</v>
      </c>
      <c r="M22" s="14" t="s">
        <v>15</v>
      </c>
      <c r="N22" s="15"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</row>
    <row r="23" spans="1:440" s="4" customFormat="1" ht="63">
      <c r="A23" s="27">
        <v>15</v>
      </c>
      <c r="B23" s="9" t="s">
        <v>120</v>
      </c>
      <c r="C23" s="7" t="s">
        <v>11</v>
      </c>
      <c r="D23" s="85" t="s">
        <v>356</v>
      </c>
      <c r="E23" s="85" t="s">
        <v>353</v>
      </c>
      <c r="F23" s="8" t="s">
        <v>159</v>
      </c>
      <c r="G23" s="10" t="s">
        <v>14</v>
      </c>
      <c r="H23" s="11">
        <v>1</v>
      </c>
      <c r="I23" s="12">
        <f>1902360/1.12</f>
        <v>1698535.7142857141</v>
      </c>
      <c r="J23" s="13">
        <f t="shared" ref="J23" si="1">H23*I23</f>
        <v>1698535.7142857141</v>
      </c>
      <c r="K23" s="28" t="s">
        <v>206</v>
      </c>
      <c r="L23" s="7" t="s">
        <v>201</v>
      </c>
      <c r="M23" s="14" t="s">
        <v>15</v>
      </c>
      <c r="N23" s="15"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</row>
    <row r="24" spans="1:440" s="4" customFormat="1" ht="94.5">
      <c r="A24" s="27">
        <v>16</v>
      </c>
      <c r="B24" s="9" t="s">
        <v>120</v>
      </c>
      <c r="C24" s="7" t="s">
        <v>11</v>
      </c>
      <c r="D24" s="85" t="s">
        <v>323</v>
      </c>
      <c r="E24" s="85" t="s">
        <v>21</v>
      </c>
      <c r="F24" s="8" t="s">
        <v>72</v>
      </c>
      <c r="G24" s="10" t="s">
        <v>14</v>
      </c>
      <c r="H24" s="11">
        <v>1</v>
      </c>
      <c r="I24" s="12">
        <f>4063301.82/1.12</f>
        <v>3627948.0535714282</v>
      </c>
      <c r="J24" s="13">
        <f>I24</f>
        <v>3627948.0535714282</v>
      </c>
      <c r="K24" s="28" t="s">
        <v>206</v>
      </c>
      <c r="L24" s="7" t="s">
        <v>201</v>
      </c>
      <c r="M24" s="14" t="s">
        <v>15</v>
      </c>
      <c r="N24" s="15"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</row>
    <row r="25" spans="1:440" s="4" customFormat="1" ht="63">
      <c r="A25" s="27">
        <v>17</v>
      </c>
      <c r="B25" s="9" t="s">
        <v>120</v>
      </c>
      <c r="C25" s="7" t="s">
        <v>11</v>
      </c>
      <c r="D25" s="85" t="s">
        <v>221</v>
      </c>
      <c r="E25" s="85" t="s">
        <v>220</v>
      </c>
      <c r="F25" s="8" t="s">
        <v>159</v>
      </c>
      <c r="G25" s="10" t="s">
        <v>14</v>
      </c>
      <c r="H25" s="11">
        <v>1</v>
      </c>
      <c r="I25" s="12">
        <f>1120504/1.12</f>
        <v>1000449.9999999999</v>
      </c>
      <c r="J25" s="13">
        <f>H25*I25</f>
        <v>1000449.9999999999</v>
      </c>
      <c r="K25" s="28" t="s">
        <v>206</v>
      </c>
      <c r="L25" s="7" t="s">
        <v>201</v>
      </c>
      <c r="M25" s="14" t="s">
        <v>15</v>
      </c>
      <c r="N25" s="15">
        <v>0</v>
      </c>
      <c r="O25" s="11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</row>
    <row r="26" spans="1:440" s="4" customFormat="1" ht="47.25">
      <c r="A26" s="27">
        <v>18</v>
      </c>
      <c r="B26" s="9" t="s">
        <v>120</v>
      </c>
      <c r="C26" s="7" t="s">
        <v>11</v>
      </c>
      <c r="D26" s="85" t="s">
        <v>324</v>
      </c>
      <c r="E26" s="85" t="s">
        <v>303</v>
      </c>
      <c r="F26" s="8" t="s">
        <v>164</v>
      </c>
      <c r="G26" s="10" t="s">
        <v>14</v>
      </c>
      <c r="H26" s="11">
        <v>1</v>
      </c>
      <c r="I26" s="12">
        <f>1526000</f>
        <v>1526000</v>
      </c>
      <c r="J26" s="13">
        <f t="shared" si="0"/>
        <v>1526000</v>
      </c>
      <c r="K26" s="28" t="s">
        <v>206</v>
      </c>
      <c r="L26" s="7" t="s">
        <v>201</v>
      </c>
      <c r="M26" s="14" t="s">
        <v>15</v>
      </c>
      <c r="N26" s="15"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</row>
    <row r="27" spans="1:440" s="4" customFormat="1" ht="31.5">
      <c r="A27" s="27">
        <v>19</v>
      </c>
      <c r="B27" s="9" t="s">
        <v>120</v>
      </c>
      <c r="C27" s="7" t="s">
        <v>11</v>
      </c>
      <c r="D27" s="85" t="s">
        <v>223</v>
      </c>
      <c r="E27" s="85" t="s">
        <v>304</v>
      </c>
      <c r="F27" s="8" t="s">
        <v>72</v>
      </c>
      <c r="G27" s="10" t="s">
        <v>14</v>
      </c>
      <c r="H27" s="11">
        <v>1</v>
      </c>
      <c r="I27" s="12">
        <f>6500000/1.12</f>
        <v>5803571.4285714282</v>
      </c>
      <c r="J27" s="13">
        <f t="shared" si="0"/>
        <v>5803571.4285714282</v>
      </c>
      <c r="K27" s="28" t="s">
        <v>206</v>
      </c>
      <c r="L27" s="7" t="s">
        <v>201</v>
      </c>
      <c r="M27" s="14" t="s">
        <v>15</v>
      </c>
      <c r="N27" s="15"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</row>
    <row r="28" spans="1:440" s="4" customFormat="1" ht="63">
      <c r="A28" s="27">
        <v>20</v>
      </c>
      <c r="B28" s="9" t="s">
        <v>120</v>
      </c>
      <c r="C28" s="7" t="s">
        <v>11</v>
      </c>
      <c r="D28" s="85" t="s">
        <v>224</v>
      </c>
      <c r="E28" s="85" t="s">
        <v>224</v>
      </c>
      <c r="F28" s="8" t="s">
        <v>159</v>
      </c>
      <c r="G28" s="10" t="s">
        <v>14</v>
      </c>
      <c r="H28" s="11">
        <v>1</v>
      </c>
      <c r="I28" s="12">
        <f>1085566.04/1.12</f>
        <v>969255.39285714284</v>
      </c>
      <c r="J28" s="13">
        <f t="shared" si="0"/>
        <v>969255.39285714284</v>
      </c>
      <c r="K28" s="28" t="s">
        <v>206</v>
      </c>
      <c r="L28" s="7" t="s">
        <v>201</v>
      </c>
      <c r="M28" s="14" t="s">
        <v>15</v>
      </c>
      <c r="N28" s="15"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</row>
    <row r="29" spans="1:440" s="4" customFormat="1" ht="63">
      <c r="A29" s="27">
        <v>21</v>
      </c>
      <c r="B29" s="9" t="s">
        <v>120</v>
      </c>
      <c r="C29" s="7" t="s">
        <v>11</v>
      </c>
      <c r="D29" s="85" t="s">
        <v>225</v>
      </c>
      <c r="E29" s="85" t="s">
        <v>225</v>
      </c>
      <c r="F29" s="8" t="s">
        <v>116</v>
      </c>
      <c r="G29" s="10" t="s">
        <v>14</v>
      </c>
      <c r="H29" s="11">
        <v>1</v>
      </c>
      <c r="I29" s="12">
        <f>158240/1.12</f>
        <v>141285.71428571426</v>
      </c>
      <c r="J29" s="13">
        <f t="shared" si="0"/>
        <v>141285.71428571426</v>
      </c>
      <c r="K29" s="28" t="s">
        <v>206</v>
      </c>
      <c r="L29" s="7" t="s">
        <v>201</v>
      </c>
      <c r="M29" s="14" t="s">
        <v>15</v>
      </c>
      <c r="N29" s="15"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</row>
    <row r="30" spans="1:440" s="4" customFormat="1" ht="31.5">
      <c r="A30" s="27">
        <v>22</v>
      </c>
      <c r="B30" s="9" t="s">
        <v>120</v>
      </c>
      <c r="C30" s="7" t="s">
        <v>11</v>
      </c>
      <c r="D30" s="85" t="s">
        <v>211</v>
      </c>
      <c r="E30" s="85" t="s">
        <v>170</v>
      </c>
      <c r="F30" s="8" t="s">
        <v>72</v>
      </c>
      <c r="G30" s="10" t="s">
        <v>14</v>
      </c>
      <c r="H30" s="11">
        <v>1</v>
      </c>
      <c r="I30" s="12">
        <f>5616000/1.12</f>
        <v>5014285.7142857136</v>
      </c>
      <c r="J30" s="13">
        <f t="shared" si="0"/>
        <v>5014285.7142857136</v>
      </c>
      <c r="K30" s="28" t="s">
        <v>206</v>
      </c>
      <c r="L30" s="7" t="s">
        <v>201</v>
      </c>
      <c r="M30" s="14" t="s">
        <v>15</v>
      </c>
      <c r="N30" s="15"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</row>
    <row r="31" spans="1:440" s="4" customFormat="1" ht="94.5">
      <c r="A31" s="27">
        <v>23</v>
      </c>
      <c r="B31" s="9" t="s">
        <v>120</v>
      </c>
      <c r="C31" s="7" t="s">
        <v>11</v>
      </c>
      <c r="D31" s="85" t="s">
        <v>365</v>
      </c>
      <c r="E31" s="85" t="s">
        <v>366</v>
      </c>
      <c r="F31" s="8" t="s">
        <v>159</v>
      </c>
      <c r="G31" s="10" t="s">
        <v>14</v>
      </c>
      <c r="H31" s="11">
        <v>1</v>
      </c>
      <c r="I31" s="12">
        <f>546468.4/1.12</f>
        <v>487918.21428571426</v>
      </c>
      <c r="J31" s="13">
        <f t="shared" si="0"/>
        <v>487918.21428571426</v>
      </c>
      <c r="K31" s="14" t="s">
        <v>208</v>
      </c>
      <c r="L31" s="7" t="s">
        <v>202</v>
      </c>
      <c r="M31" s="14" t="s">
        <v>15</v>
      </c>
      <c r="N31" s="15"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</row>
    <row r="32" spans="1:440" s="4" customFormat="1" ht="63">
      <c r="A32" s="27">
        <v>24</v>
      </c>
      <c r="B32" s="9" t="s">
        <v>120</v>
      </c>
      <c r="C32" s="7" t="s">
        <v>11</v>
      </c>
      <c r="D32" s="85" t="s">
        <v>367</v>
      </c>
      <c r="E32" s="85" t="s">
        <v>368</v>
      </c>
      <c r="F32" s="8" t="s">
        <v>116</v>
      </c>
      <c r="G32" s="10" t="s">
        <v>14</v>
      </c>
      <c r="H32" s="11">
        <v>1</v>
      </c>
      <c r="I32" s="12">
        <f>105505/1.12</f>
        <v>94200.892857142855</v>
      </c>
      <c r="J32" s="13">
        <f t="shared" si="0"/>
        <v>94200.892857142855</v>
      </c>
      <c r="K32" s="28" t="s">
        <v>206</v>
      </c>
      <c r="L32" s="7" t="s">
        <v>203</v>
      </c>
      <c r="M32" s="14" t="s">
        <v>15</v>
      </c>
      <c r="N32" s="15"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</row>
    <row r="33" spans="1:440" s="4" customFormat="1" ht="78.75">
      <c r="A33" s="27">
        <v>25</v>
      </c>
      <c r="B33" s="9" t="s">
        <v>120</v>
      </c>
      <c r="C33" s="7" t="s">
        <v>11</v>
      </c>
      <c r="D33" s="85" t="s">
        <v>363</v>
      </c>
      <c r="E33" s="85" t="s">
        <v>364</v>
      </c>
      <c r="F33" s="8" t="s">
        <v>116</v>
      </c>
      <c r="G33" s="10" t="s">
        <v>14</v>
      </c>
      <c r="H33" s="11">
        <v>1</v>
      </c>
      <c r="I33" s="12">
        <f>280546/1.12</f>
        <v>250487.49999999997</v>
      </c>
      <c r="J33" s="13">
        <f t="shared" si="0"/>
        <v>250487.49999999997</v>
      </c>
      <c r="K33" s="7" t="s">
        <v>205</v>
      </c>
      <c r="L33" s="7" t="s">
        <v>205</v>
      </c>
      <c r="M33" s="14" t="s">
        <v>15</v>
      </c>
      <c r="N33" s="15"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</row>
    <row r="34" spans="1:440" s="4" customFormat="1" ht="63">
      <c r="A34" s="27">
        <v>26</v>
      </c>
      <c r="B34" s="9" t="s">
        <v>120</v>
      </c>
      <c r="C34" s="7" t="s">
        <v>11</v>
      </c>
      <c r="D34" s="85" t="s">
        <v>212</v>
      </c>
      <c r="E34" s="85" t="s">
        <v>171</v>
      </c>
      <c r="F34" s="8" t="s">
        <v>159</v>
      </c>
      <c r="G34" s="10" t="s">
        <v>14</v>
      </c>
      <c r="H34" s="11">
        <v>1</v>
      </c>
      <c r="I34" s="12">
        <f>800000/1.12</f>
        <v>714285.7142857142</v>
      </c>
      <c r="J34" s="13">
        <f t="shared" si="0"/>
        <v>714285.7142857142</v>
      </c>
      <c r="K34" s="28" t="s">
        <v>206</v>
      </c>
      <c r="L34" s="7" t="s">
        <v>203</v>
      </c>
      <c r="M34" s="14" t="s">
        <v>15</v>
      </c>
      <c r="N34" s="15"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</row>
    <row r="35" spans="1:440" s="4" customFormat="1" ht="31.5">
      <c r="A35" s="27">
        <v>27</v>
      </c>
      <c r="B35" s="9" t="s">
        <v>120</v>
      </c>
      <c r="C35" s="7" t="s">
        <v>11</v>
      </c>
      <c r="D35" s="85" t="s">
        <v>325</v>
      </c>
      <c r="E35" s="85" t="s">
        <v>172</v>
      </c>
      <c r="F35" s="8" t="s">
        <v>164</v>
      </c>
      <c r="G35" s="10" t="s">
        <v>14</v>
      </c>
      <c r="H35" s="11">
        <v>1</v>
      </c>
      <c r="I35" s="12">
        <f>3938799.43</f>
        <v>3938799.43</v>
      </c>
      <c r="J35" s="13">
        <f>H35*I35</f>
        <v>3938799.43</v>
      </c>
      <c r="K35" s="28" t="s">
        <v>206</v>
      </c>
      <c r="L35" s="7" t="s">
        <v>201</v>
      </c>
      <c r="M35" s="14" t="s">
        <v>15</v>
      </c>
      <c r="N35" s="15"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</row>
    <row r="36" spans="1:440" s="4" customFormat="1" ht="47.25">
      <c r="A36" s="27">
        <v>28</v>
      </c>
      <c r="B36" s="9" t="s">
        <v>120</v>
      </c>
      <c r="C36" s="7" t="s">
        <v>11</v>
      </c>
      <c r="D36" s="85" t="s">
        <v>349</v>
      </c>
      <c r="E36" s="85" t="s">
        <v>227</v>
      </c>
      <c r="F36" s="8" t="s">
        <v>164</v>
      </c>
      <c r="G36" s="10" t="s">
        <v>14</v>
      </c>
      <c r="H36" s="11">
        <v>1</v>
      </c>
      <c r="I36" s="12">
        <f>5343580</f>
        <v>5343580</v>
      </c>
      <c r="J36" s="13">
        <f>H36*I36</f>
        <v>5343580</v>
      </c>
      <c r="K36" s="28" t="s">
        <v>206</v>
      </c>
      <c r="L36" s="7" t="s">
        <v>201</v>
      </c>
      <c r="M36" s="14" t="s">
        <v>15</v>
      </c>
      <c r="N36" s="15"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</row>
    <row r="37" spans="1:440" s="4" customFormat="1" ht="63">
      <c r="A37" s="27">
        <v>29</v>
      </c>
      <c r="B37" s="9" t="s">
        <v>120</v>
      </c>
      <c r="C37" s="7" t="s">
        <v>11</v>
      </c>
      <c r="D37" s="85" t="s">
        <v>175</v>
      </c>
      <c r="E37" s="85" t="s">
        <v>173</v>
      </c>
      <c r="F37" s="8" t="s">
        <v>116</v>
      </c>
      <c r="G37" s="10" t="s">
        <v>14</v>
      </c>
      <c r="H37" s="11">
        <v>1</v>
      </c>
      <c r="I37" s="12">
        <f>490680/1.12</f>
        <v>438107.14285714284</v>
      </c>
      <c r="J37" s="13">
        <f t="shared" ref="J37:J100" si="2">H37*I37</f>
        <v>438107.14285714284</v>
      </c>
      <c r="K37" s="14" t="s">
        <v>208</v>
      </c>
      <c r="L37" s="7" t="s">
        <v>202</v>
      </c>
      <c r="M37" s="14" t="s">
        <v>15</v>
      </c>
      <c r="N37" s="15"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</row>
    <row r="38" spans="1:440" s="4" customFormat="1" ht="78.75">
      <c r="A38" s="27">
        <v>30</v>
      </c>
      <c r="B38" s="9" t="s">
        <v>120</v>
      </c>
      <c r="C38" s="7" t="s">
        <v>11</v>
      </c>
      <c r="D38" s="85" t="s">
        <v>176</v>
      </c>
      <c r="E38" s="85" t="s">
        <v>174</v>
      </c>
      <c r="F38" s="8" t="s">
        <v>116</v>
      </c>
      <c r="G38" s="10" t="s">
        <v>14</v>
      </c>
      <c r="H38" s="11">
        <v>1</v>
      </c>
      <c r="I38" s="12">
        <f>425616/1.12</f>
        <v>380014.28571428568</v>
      </c>
      <c r="J38" s="13">
        <f t="shared" si="2"/>
        <v>380014.28571428568</v>
      </c>
      <c r="K38" s="14" t="s">
        <v>208</v>
      </c>
      <c r="L38" s="7" t="s">
        <v>202</v>
      </c>
      <c r="M38" s="14" t="s">
        <v>15</v>
      </c>
      <c r="N38" s="15"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</row>
    <row r="39" spans="1:440" s="4" customFormat="1" ht="63">
      <c r="A39" s="27">
        <v>31</v>
      </c>
      <c r="B39" s="9" t="s">
        <v>120</v>
      </c>
      <c r="C39" s="7" t="s">
        <v>11</v>
      </c>
      <c r="D39" s="85" t="s">
        <v>226</v>
      </c>
      <c r="E39" s="85" t="s">
        <v>226</v>
      </c>
      <c r="F39" s="8" t="s">
        <v>159</v>
      </c>
      <c r="G39" s="10" t="s">
        <v>14</v>
      </c>
      <c r="H39" s="11">
        <v>1</v>
      </c>
      <c r="I39" s="12">
        <f>1469000/1.12</f>
        <v>1311607.1428571427</v>
      </c>
      <c r="J39" s="13">
        <f t="shared" si="2"/>
        <v>1311607.1428571427</v>
      </c>
      <c r="K39" s="28" t="s">
        <v>206</v>
      </c>
      <c r="L39" s="7" t="s">
        <v>201</v>
      </c>
      <c r="M39" s="14" t="s">
        <v>15</v>
      </c>
      <c r="N39" s="15"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</row>
    <row r="40" spans="1:440" s="4" customFormat="1" ht="63">
      <c r="A40" s="27">
        <v>32</v>
      </c>
      <c r="B40" s="9" t="s">
        <v>120</v>
      </c>
      <c r="C40" s="7" t="s">
        <v>22</v>
      </c>
      <c r="D40" s="85" t="s">
        <v>326</v>
      </c>
      <c r="E40" s="85" t="s">
        <v>273</v>
      </c>
      <c r="F40" s="8" t="s">
        <v>116</v>
      </c>
      <c r="G40" s="10" t="s">
        <v>23</v>
      </c>
      <c r="H40" s="11">
        <v>2</v>
      </c>
      <c r="I40" s="12">
        <f>31700/1.12</f>
        <v>28303.571428571428</v>
      </c>
      <c r="J40" s="13">
        <f>H40*I40</f>
        <v>56607.142857142855</v>
      </c>
      <c r="K40" s="14" t="s">
        <v>208</v>
      </c>
      <c r="L40" s="7" t="s">
        <v>208</v>
      </c>
      <c r="M40" s="14" t="s">
        <v>15</v>
      </c>
      <c r="N40" s="15"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</row>
    <row r="41" spans="1:440" s="4" customFormat="1" ht="63">
      <c r="A41" s="27">
        <v>33</v>
      </c>
      <c r="B41" s="9" t="s">
        <v>120</v>
      </c>
      <c r="C41" s="7" t="s">
        <v>22</v>
      </c>
      <c r="D41" s="85" t="s">
        <v>327</v>
      </c>
      <c r="E41" s="85" t="s">
        <v>274</v>
      </c>
      <c r="F41" s="8" t="s">
        <v>116</v>
      </c>
      <c r="G41" s="10" t="s">
        <v>23</v>
      </c>
      <c r="H41" s="11">
        <v>3</v>
      </c>
      <c r="I41" s="12">
        <f>68990/1.12</f>
        <v>61598.214285714283</v>
      </c>
      <c r="J41" s="13">
        <f>H41*I41</f>
        <v>184794.64285714284</v>
      </c>
      <c r="K41" s="14" t="s">
        <v>208</v>
      </c>
      <c r="L41" s="7" t="s">
        <v>208</v>
      </c>
      <c r="M41" s="14" t="s">
        <v>15</v>
      </c>
      <c r="N41" s="15"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</row>
    <row r="42" spans="1:440" s="4" customFormat="1" ht="63">
      <c r="A42" s="27">
        <v>34</v>
      </c>
      <c r="B42" s="9" t="s">
        <v>120</v>
      </c>
      <c r="C42" s="7" t="s">
        <v>22</v>
      </c>
      <c r="D42" s="85" t="s">
        <v>275</v>
      </c>
      <c r="E42" s="85" t="s">
        <v>275</v>
      </c>
      <c r="F42" s="8" t="s">
        <v>116</v>
      </c>
      <c r="G42" s="10" t="s">
        <v>23</v>
      </c>
      <c r="H42" s="11">
        <v>6</v>
      </c>
      <c r="I42" s="12">
        <f>68730/1.12</f>
        <v>61366.07142857142</v>
      </c>
      <c r="J42" s="13">
        <f>H42*I42</f>
        <v>368196.42857142852</v>
      </c>
      <c r="K42" s="14" t="s">
        <v>208</v>
      </c>
      <c r="L42" s="7" t="s">
        <v>208</v>
      </c>
      <c r="M42" s="14" t="s">
        <v>15</v>
      </c>
      <c r="N42" s="15">
        <v>0</v>
      </c>
      <c r="O42" s="6"/>
      <c r="P42" s="74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</row>
    <row r="43" spans="1:440" s="4" customFormat="1" ht="78.75">
      <c r="A43" s="27">
        <v>35</v>
      </c>
      <c r="B43" s="9" t="s">
        <v>120</v>
      </c>
      <c r="C43" s="7" t="s">
        <v>22</v>
      </c>
      <c r="D43" s="85" t="s">
        <v>290</v>
      </c>
      <c r="E43" s="85" t="s">
        <v>290</v>
      </c>
      <c r="F43" s="8" t="s">
        <v>116</v>
      </c>
      <c r="G43" s="10" t="s">
        <v>23</v>
      </c>
      <c r="H43" s="11">
        <v>2</v>
      </c>
      <c r="I43" s="12">
        <f>22900/1.12</f>
        <v>20446.428571428569</v>
      </c>
      <c r="J43" s="13">
        <f t="shared" ref="J43:J44" si="3">H43*I43</f>
        <v>40892.857142857138</v>
      </c>
      <c r="K43" s="14" t="s">
        <v>208</v>
      </c>
      <c r="L43" s="7" t="s">
        <v>208</v>
      </c>
      <c r="M43" s="14" t="s">
        <v>15</v>
      </c>
      <c r="N43" s="15"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</row>
    <row r="44" spans="1:440" s="4" customFormat="1" ht="63">
      <c r="A44" s="27">
        <v>36</v>
      </c>
      <c r="B44" s="9" t="s">
        <v>120</v>
      </c>
      <c r="C44" s="7" t="s">
        <v>22</v>
      </c>
      <c r="D44" s="85" t="s">
        <v>277</v>
      </c>
      <c r="E44" s="85" t="s">
        <v>276</v>
      </c>
      <c r="F44" s="8" t="s">
        <v>116</v>
      </c>
      <c r="G44" s="10" t="s">
        <v>23</v>
      </c>
      <c r="H44" s="11">
        <v>4</v>
      </c>
      <c r="I44" s="12">
        <f>28980/1.12</f>
        <v>25874.999999999996</v>
      </c>
      <c r="J44" s="13">
        <f t="shared" si="3"/>
        <v>103499.99999999999</v>
      </c>
      <c r="K44" s="14" t="s">
        <v>208</v>
      </c>
      <c r="L44" s="7" t="s">
        <v>208</v>
      </c>
      <c r="M44" s="14" t="s">
        <v>15</v>
      </c>
      <c r="N44" s="15"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</row>
    <row r="45" spans="1:440" s="4" customFormat="1" ht="63">
      <c r="A45" s="27">
        <v>37</v>
      </c>
      <c r="B45" s="9" t="s">
        <v>120</v>
      </c>
      <c r="C45" s="7" t="s">
        <v>22</v>
      </c>
      <c r="D45" s="85" t="s">
        <v>291</v>
      </c>
      <c r="E45" s="85" t="s">
        <v>291</v>
      </c>
      <c r="F45" s="8" t="s">
        <v>116</v>
      </c>
      <c r="G45" s="10" t="s">
        <v>23</v>
      </c>
      <c r="H45" s="11">
        <v>3</v>
      </c>
      <c r="I45" s="12">
        <f>75992/1.12</f>
        <v>67850</v>
      </c>
      <c r="J45" s="13">
        <f>H45*I45</f>
        <v>203550</v>
      </c>
      <c r="K45" s="14" t="s">
        <v>208</v>
      </c>
      <c r="L45" s="7" t="s">
        <v>208</v>
      </c>
      <c r="M45" s="14" t="s">
        <v>15</v>
      </c>
      <c r="N45" s="15"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</row>
    <row r="46" spans="1:440" s="4" customFormat="1" ht="63">
      <c r="A46" s="27">
        <v>38</v>
      </c>
      <c r="B46" s="9" t="s">
        <v>120</v>
      </c>
      <c r="C46" s="7" t="s">
        <v>22</v>
      </c>
      <c r="D46" s="85" t="s">
        <v>343</v>
      </c>
      <c r="E46" s="85" t="s">
        <v>292</v>
      </c>
      <c r="F46" s="8" t="s">
        <v>116</v>
      </c>
      <c r="G46" s="10" t="s">
        <v>23</v>
      </c>
      <c r="H46" s="11">
        <v>1</v>
      </c>
      <c r="I46" s="12">
        <f>110984/1.12</f>
        <v>99092.85714285713</v>
      </c>
      <c r="J46" s="13">
        <f t="shared" ref="J46:J64" si="4">H46*I46</f>
        <v>99092.85714285713</v>
      </c>
      <c r="K46" s="14" t="s">
        <v>208</v>
      </c>
      <c r="L46" s="7" t="s">
        <v>208</v>
      </c>
      <c r="M46" s="14" t="s">
        <v>15</v>
      </c>
      <c r="N46" s="15"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</row>
    <row r="47" spans="1:440" s="4" customFormat="1" ht="63">
      <c r="A47" s="27">
        <v>39</v>
      </c>
      <c r="B47" s="9" t="s">
        <v>120</v>
      </c>
      <c r="C47" s="7" t="s">
        <v>22</v>
      </c>
      <c r="D47" s="85" t="s">
        <v>344</v>
      </c>
      <c r="E47" s="85" t="s">
        <v>293</v>
      </c>
      <c r="F47" s="8" t="s">
        <v>116</v>
      </c>
      <c r="G47" s="10" t="s">
        <v>23</v>
      </c>
      <c r="H47" s="11">
        <v>1</v>
      </c>
      <c r="I47" s="12">
        <f>156622/1.12</f>
        <v>139841.07142857142</v>
      </c>
      <c r="J47" s="13">
        <f t="shared" si="4"/>
        <v>139841.07142857142</v>
      </c>
      <c r="K47" s="14" t="s">
        <v>208</v>
      </c>
      <c r="L47" s="7" t="s">
        <v>208</v>
      </c>
      <c r="M47" s="14" t="s">
        <v>15</v>
      </c>
      <c r="N47" s="15"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</row>
    <row r="48" spans="1:440" s="4" customFormat="1" ht="63">
      <c r="A48" s="27">
        <v>40</v>
      </c>
      <c r="B48" s="9" t="s">
        <v>120</v>
      </c>
      <c r="C48" s="7" t="s">
        <v>22</v>
      </c>
      <c r="D48" s="85" t="s">
        <v>345</v>
      </c>
      <c r="E48" s="85" t="s">
        <v>294</v>
      </c>
      <c r="F48" s="8" t="s">
        <v>116</v>
      </c>
      <c r="G48" s="10" t="s">
        <v>23</v>
      </c>
      <c r="H48" s="11">
        <v>1</v>
      </c>
      <c r="I48" s="12">
        <f>156622/1.12</f>
        <v>139841.07142857142</v>
      </c>
      <c r="J48" s="13">
        <f t="shared" si="4"/>
        <v>139841.07142857142</v>
      </c>
      <c r="K48" s="14" t="s">
        <v>208</v>
      </c>
      <c r="L48" s="7" t="s">
        <v>208</v>
      </c>
      <c r="M48" s="14" t="s">
        <v>15</v>
      </c>
      <c r="N48" s="15"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</row>
    <row r="49" spans="1:440" s="4" customFormat="1" ht="63">
      <c r="A49" s="27">
        <v>41</v>
      </c>
      <c r="B49" s="9" t="s">
        <v>120</v>
      </c>
      <c r="C49" s="7" t="s">
        <v>22</v>
      </c>
      <c r="D49" s="85" t="s">
        <v>346</v>
      </c>
      <c r="E49" s="85" t="s">
        <v>295</v>
      </c>
      <c r="F49" s="8" t="s">
        <v>116</v>
      </c>
      <c r="G49" s="10" t="s">
        <v>23</v>
      </c>
      <c r="H49" s="11">
        <v>1</v>
      </c>
      <c r="I49" s="12">
        <f>156622/1.12</f>
        <v>139841.07142857142</v>
      </c>
      <c r="J49" s="13">
        <f t="shared" si="4"/>
        <v>139841.07142857142</v>
      </c>
      <c r="K49" s="14" t="s">
        <v>208</v>
      </c>
      <c r="L49" s="7" t="s">
        <v>208</v>
      </c>
      <c r="M49" s="14" t="s">
        <v>15</v>
      </c>
      <c r="N49" s="15"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</row>
    <row r="50" spans="1:440" s="4" customFormat="1" ht="63">
      <c r="A50" s="27">
        <v>42</v>
      </c>
      <c r="B50" s="9" t="s">
        <v>120</v>
      </c>
      <c r="C50" s="7" t="s">
        <v>22</v>
      </c>
      <c r="D50" s="85" t="s">
        <v>347</v>
      </c>
      <c r="E50" s="85" t="s">
        <v>296</v>
      </c>
      <c r="F50" s="8" t="s">
        <v>116</v>
      </c>
      <c r="G50" s="10" t="s">
        <v>23</v>
      </c>
      <c r="H50" s="11">
        <v>2</v>
      </c>
      <c r="I50" s="12">
        <f>94728/1.12</f>
        <v>84578.57142857142</v>
      </c>
      <c r="J50" s="13">
        <f t="shared" si="4"/>
        <v>169157.14285714284</v>
      </c>
      <c r="K50" s="14" t="s">
        <v>208</v>
      </c>
      <c r="L50" s="7" t="s">
        <v>208</v>
      </c>
      <c r="M50" s="14" t="s">
        <v>15</v>
      </c>
      <c r="N50" s="15"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</row>
    <row r="51" spans="1:440" s="4" customFormat="1" ht="63">
      <c r="A51" s="27">
        <v>43</v>
      </c>
      <c r="B51" s="9" t="s">
        <v>120</v>
      </c>
      <c r="C51" s="7" t="s">
        <v>22</v>
      </c>
      <c r="D51" s="85" t="s">
        <v>216</v>
      </c>
      <c r="E51" s="85" t="s">
        <v>217</v>
      </c>
      <c r="F51" s="8" t="s">
        <v>116</v>
      </c>
      <c r="G51" s="10" t="s">
        <v>23</v>
      </c>
      <c r="H51" s="11">
        <v>3</v>
      </c>
      <c r="I51" s="12">
        <f>6300/1.12</f>
        <v>5624.9999999999991</v>
      </c>
      <c r="J51" s="13">
        <f t="shared" si="4"/>
        <v>16874.999999999996</v>
      </c>
      <c r="K51" s="14" t="s">
        <v>208</v>
      </c>
      <c r="L51" s="7" t="s">
        <v>208</v>
      </c>
      <c r="M51" s="14" t="s">
        <v>15</v>
      </c>
      <c r="N51" s="15"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</row>
    <row r="52" spans="1:440" s="4" customFormat="1" ht="63">
      <c r="A52" s="27">
        <v>44</v>
      </c>
      <c r="B52" s="9" t="s">
        <v>120</v>
      </c>
      <c r="C52" s="7" t="s">
        <v>22</v>
      </c>
      <c r="D52" s="85" t="s">
        <v>328</v>
      </c>
      <c r="E52" s="85" t="s">
        <v>282</v>
      </c>
      <c r="F52" s="8" t="s">
        <v>116</v>
      </c>
      <c r="G52" s="10" t="s">
        <v>23</v>
      </c>
      <c r="H52" s="11">
        <v>1</v>
      </c>
      <c r="I52" s="12">
        <f>2300/1.12</f>
        <v>2053.5714285714284</v>
      </c>
      <c r="J52" s="13">
        <f t="shared" si="4"/>
        <v>2053.5714285714284</v>
      </c>
      <c r="K52" s="28" t="s">
        <v>206</v>
      </c>
      <c r="L52" s="7" t="s">
        <v>206</v>
      </c>
      <c r="M52" s="14" t="s">
        <v>15</v>
      </c>
      <c r="N52" s="15"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</row>
    <row r="53" spans="1:440" s="4" customFormat="1" ht="63">
      <c r="A53" s="27">
        <v>45</v>
      </c>
      <c r="B53" s="9" t="s">
        <v>120</v>
      </c>
      <c r="C53" s="7" t="s">
        <v>22</v>
      </c>
      <c r="D53" s="85" t="s">
        <v>287</v>
      </c>
      <c r="E53" s="85" t="s">
        <v>287</v>
      </c>
      <c r="F53" s="8" t="s">
        <v>116</v>
      </c>
      <c r="G53" s="10" t="s">
        <v>23</v>
      </c>
      <c r="H53" s="11">
        <v>16</v>
      </c>
      <c r="I53" s="12">
        <f>250/1.12</f>
        <v>223.21428571428569</v>
      </c>
      <c r="J53" s="13">
        <f t="shared" si="4"/>
        <v>3571.4285714285711</v>
      </c>
      <c r="K53" s="28" t="s">
        <v>206</v>
      </c>
      <c r="L53" s="7" t="s">
        <v>206</v>
      </c>
      <c r="M53" s="14" t="s">
        <v>15</v>
      </c>
      <c r="N53" s="15"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</row>
    <row r="54" spans="1:440" s="4" customFormat="1" ht="63">
      <c r="A54" s="27">
        <v>46</v>
      </c>
      <c r="B54" s="9" t="s">
        <v>120</v>
      </c>
      <c r="C54" s="7" t="s">
        <v>22</v>
      </c>
      <c r="D54" s="85" t="s">
        <v>286</v>
      </c>
      <c r="E54" s="85" t="s">
        <v>286</v>
      </c>
      <c r="F54" s="8" t="s">
        <v>116</v>
      </c>
      <c r="G54" s="10" t="s">
        <v>23</v>
      </c>
      <c r="H54" s="11">
        <v>16</v>
      </c>
      <c r="I54" s="12">
        <f>238.25/1.12</f>
        <v>212.72321428571428</v>
      </c>
      <c r="J54" s="13">
        <f t="shared" si="4"/>
        <v>3403.5714285714284</v>
      </c>
      <c r="K54" s="28" t="s">
        <v>206</v>
      </c>
      <c r="L54" s="7" t="s">
        <v>206</v>
      </c>
      <c r="M54" s="14" t="s">
        <v>15</v>
      </c>
      <c r="N54" s="15"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</row>
    <row r="55" spans="1:440" s="4" customFormat="1" ht="63">
      <c r="A55" s="27">
        <v>47</v>
      </c>
      <c r="B55" s="9" t="s">
        <v>120</v>
      </c>
      <c r="C55" s="7" t="s">
        <v>22</v>
      </c>
      <c r="D55" s="85" t="s">
        <v>288</v>
      </c>
      <c r="E55" s="85" t="s">
        <v>283</v>
      </c>
      <c r="F55" s="8" t="s">
        <v>116</v>
      </c>
      <c r="G55" s="10" t="s">
        <v>23</v>
      </c>
      <c r="H55" s="11">
        <v>3</v>
      </c>
      <c r="I55" s="12">
        <f>14990/1.12</f>
        <v>13383.928571428571</v>
      </c>
      <c r="J55" s="13">
        <f t="shared" si="4"/>
        <v>40151.78571428571</v>
      </c>
      <c r="K55" s="28" t="s">
        <v>206</v>
      </c>
      <c r="L55" s="7" t="s">
        <v>206</v>
      </c>
      <c r="M55" s="14" t="s">
        <v>15</v>
      </c>
      <c r="N55" s="15"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</row>
    <row r="56" spans="1:440" s="4" customFormat="1" ht="63">
      <c r="A56" s="27">
        <v>48</v>
      </c>
      <c r="B56" s="9" t="s">
        <v>120</v>
      </c>
      <c r="C56" s="7" t="s">
        <v>22</v>
      </c>
      <c r="D56" s="85" t="s">
        <v>54</v>
      </c>
      <c r="E56" s="85" t="s">
        <v>329</v>
      </c>
      <c r="F56" s="8" t="s">
        <v>116</v>
      </c>
      <c r="G56" s="10" t="s">
        <v>23</v>
      </c>
      <c r="H56" s="11">
        <v>350</v>
      </c>
      <c r="I56" s="12">
        <f>650/1.12</f>
        <v>580.35714285714278</v>
      </c>
      <c r="J56" s="13">
        <f t="shared" si="4"/>
        <v>203124.99999999997</v>
      </c>
      <c r="K56" s="28" t="s">
        <v>206</v>
      </c>
      <c r="L56" s="7" t="s">
        <v>206</v>
      </c>
      <c r="M56" s="14" t="s">
        <v>15</v>
      </c>
      <c r="N56" s="15"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</row>
    <row r="57" spans="1:440" s="4" customFormat="1" ht="63">
      <c r="A57" s="27">
        <v>49</v>
      </c>
      <c r="B57" s="9" t="s">
        <v>120</v>
      </c>
      <c r="C57" s="7" t="s">
        <v>22</v>
      </c>
      <c r="D57" s="85" t="s">
        <v>284</v>
      </c>
      <c r="E57" s="85" t="s">
        <v>284</v>
      </c>
      <c r="F57" s="8" t="s">
        <v>116</v>
      </c>
      <c r="G57" s="10" t="s">
        <v>23</v>
      </c>
      <c r="H57" s="11">
        <v>1</v>
      </c>
      <c r="I57" s="12">
        <f>30990/1.12</f>
        <v>27669.642857142855</v>
      </c>
      <c r="J57" s="13">
        <f t="shared" si="4"/>
        <v>27669.642857142855</v>
      </c>
      <c r="K57" s="14" t="s">
        <v>208</v>
      </c>
      <c r="L57" s="7" t="s">
        <v>208</v>
      </c>
      <c r="M57" s="14" t="s">
        <v>15</v>
      </c>
      <c r="N57" s="15"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</row>
    <row r="58" spans="1:440" s="4" customFormat="1" ht="63">
      <c r="A58" s="27">
        <v>50</v>
      </c>
      <c r="B58" s="9" t="s">
        <v>120</v>
      </c>
      <c r="C58" s="7" t="s">
        <v>22</v>
      </c>
      <c r="D58" s="85" t="s">
        <v>361</v>
      </c>
      <c r="E58" s="85" t="s">
        <v>360</v>
      </c>
      <c r="F58" s="8" t="s">
        <v>116</v>
      </c>
      <c r="G58" s="10" t="s">
        <v>23</v>
      </c>
      <c r="H58" s="11">
        <v>1</v>
      </c>
      <c r="I58" s="12">
        <f>1750/1.12</f>
        <v>1562.4999999999998</v>
      </c>
      <c r="J58" s="13">
        <f t="shared" si="4"/>
        <v>1562.4999999999998</v>
      </c>
      <c r="K58" s="28" t="s">
        <v>206</v>
      </c>
      <c r="L58" s="7" t="s">
        <v>206</v>
      </c>
      <c r="M58" s="14" t="s">
        <v>15</v>
      </c>
      <c r="N58" s="15"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</row>
    <row r="59" spans="1:440" s="4" customFormat="1" ht="63">
      <c r="A59" s="27">
        <v>51</v>
      </c>
      <c r="B59" s="9" t="s">
        <v>120</v>
      </c>
      <c r="C59" s="7" t="s">
        <v>22</v>
      </c>
      <c r="D59" s="85" t="s">
        <v>289</v>
      </c>
      <c r="E59" s="85" t="s">
        <v>285</v>
      </c>
      <c r="F59" s="8" t="s">
        <v>116</v>
      </c>
      <c r="G59" s="10" t="s">
        <v>23</v>
      </c>
      <c r="H59" s="11">
        <v>500</v>
      </c>
      <c r="I59" s="12">
        <f>2/1.12</f>
        <v>1.7857142857142856</v>
      </c>
      <c r="J59" s="13">
        <f t="shared" si="4"/>
        <v>892.85714285714278</v>
      </c>
      <c r="K59" s="28" t="s">
        <v>206</v>
      </c>
      <c r="L59" s="7" t="s">
        <v>206</v>
      </c>
      <c r="M59" s="14" t="s">
        <v>15</v>
      </c>
      <c r="N59" s="15"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</row>
    <row r="60" spans="1:440" s="4" customFormat="1" ht="63">
      <c r="A60" s="27">
        <v>52</v>
      </c>
      <c r="B60" s="9" t="s">
        <v>120</v>
      </c>
      <c r="C60" s="7" t="s">
        <v>22</v>
      </c>
      <c r="D60" s="85" t="s">
        <v>350</v>
      </c>
      <c r="E60" s="85" t="s">
        <v>297</v>
      </c>
      <c r="F60" s="8" t="s">
        <v>116</v>
      </c>
      <c r="G60" s="10" t="s">
        <v>23</v>
      </c>
      <c r="H60" s="11">
        <v>100</v>
      </c>
      <c r="I60" s="12">
        <f>21/1.12</f>
        <v>18.749999999999996</v>
      </c>
      <c r="J60" s="13">
        <f t="shared" si="4"/>
        <v>1874.9999999999995</v>
      </c>
      <c r="K60" s="28" t="s">
        <v>206</v>
      </c>
      <c r="L60" s="7" t="s">
        <v>206</v>
      </c>
      <c r="M60" s="14" t="s">
        <v>15</v>
      </c>
      <c r="N60" s="15"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</row>
    <row r="61" spans="1:440" s="4" customFormat="1" ht="63">
      <c r="A61" s="27">
        <v>53</v>
      </c>
      <c r="B61" s="9" t="s">
        <v>120</v>
      </c>
      <c r="C61" s="7" t="s">
        <v>22</v>
      </c>
      <c r="D61" s="85" t="s">
        <v>280</v>
      </c>
      <c r="E61" s="85" t="s">
        <v>278</v>
      </c>
      <c r="F61" s="8" t="s">
        <v>116</v>
      </c>
      <c r="G61" s="10" t="s">
        <v>23</v>
      </c>
      <c r="H61" s="11">
        <v>2</v>
      </c>
      <c r="I61" s="12">
        <f>2370/1.12</f>
        <v>2116.0714285714284</v>
      </c>
      <c r="J61" s="13">
        <f t="shared" si="4"/>
        <v>4232.1428571428569</v>
      </c>
      <c r="K61" s="28" t="s">
        <v>206</v>
      </c>
      <c r="L61" s="7" t="s">
        <v>206</v>
      </c>
      <c r="M61" s="14" t="s">
        <v>15</v>
      </c>
      <c r="N61" s="15"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</row>
    <row r="62" spans="1:440" s="4" customFormat="1" ht="63">
      <c r="A62" s="27">
        <v>54</v>
      </c>
      <c r="B62" s="9" t="s">
        <v>120</v>
      </c>
      <c r="C62" s="7" t="s">
        <v>22</v>
      </c>
      <c r="D62" s="85" t="s">
        <v>281</v>
      </c>
      <c r="E62" s="85" t="s">
        <v>279</v>
      </c>
      <c r="F62" s="8" t="s">
        <v>116</v>
      </c>
      <c r="G62" s="10" t="s">
        <v>23</v>
      </c>
      <c r="H62" s="11">
        <v>1000</v>
      </c>
      <c r="I62" s="12">
        <f>60/1.12</f>
        <v>53.571428571428569</v>
      </c>
      <c r="J62" s="13">
        <f t="shared" si="4"/>
        <v>53571.428571428572</v>
      </c>
      <c r="K62" s="28" t="s">
        <v>206</v>
      </c>
      <c r="L62" s="7" t="s">
        <v>208</v>
      </c>
      <c r="M62" s="14" t="s">
        <v>15</v>
      </c>
      <c r="N62" s="15"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</row>
    <row r="63" spans="1:440" s="4" customFormat="1" ht="63">
      <c r="A63" s="27">
        <v>55</v>
      </c>
      <c r="B63" s="9" t="s">
        <v>120</v>
      </c>
      <c r="C63" s="7" t="s">
        <v>22</v>
      </c>
      <c r="D63" s="85" t="s">
        <v>299</v>
      </c>
      <c r="E63" s="85" t="s">
        <v>298</v>
      </c>
      <c r="F63" s="8" t="s">
        <v>116</v>
      </c>
      <c r="G63" s="10" t="s">
        <v>23</v>
      </c>
      <c r="H63" s="11">
        <v>200</v>
      </c>
      <c r="I63" s="12">
        <f>1160/1.12</f>
        <v>1035.7142857142856</v>
      </c>
      <c r="J63" s="13">
        <f t="shared" si="4"/>
        <v>207142.8571428571</v>
      </c>
      <c r="K63" s="14" t="s">
        <v>208</v>
      </c>
      <c r="L63" s="7" t="s">
        <v>208</v>
      </c>
      <c r="M63" s="14" t="s">
        <v>15</v>
      </c>
      <c r="N63" s="15"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</row>
    <row r="64" spans="1:440" s="4" customFormat="1" ht="63">
      <c r="A64" s="27">
        <v>56</v>
      </c>
      <c r="B64" s="9" t="s">
        <v>120</v>
      </c>
      <c r="C64" s="7" t="s">
        <v>22</v>
      </c>
      <c r="D64" s="85" t="s">
        <v>332</v>
      </c>
      <c r="E64" s="85" t="s">
        <v>300</v>
      </c>
      <c r="F64" s="8" t="s">
        <v>116</v>
      </c>
      <c r="G64" s="10" t="s">
        <v>23</v>
      </c>
      <c r="H64" s="11">
        <v>50</v>
      </c>
      <c r="I64" s="12">
        <f>79.84/1.12</f>
        <v>71.285714285714278</v>
      </c>
      <c r="J64" s="13">
        <f t="shared" si="4"/>
        <v>3564.2857142857138</v>
      </c>
      <c r="K64" s="14" t="s">
        <v>208</v>
      </c>
      <c r="L64" s="7" t="s">
        <v>208</v>
      </c>
      <c r="M64" s="14" t="s">
        <v>15</v>
      </c>
      <c r="N64" s="15"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</row>
    <row r="65" spans="1:440" s="4" customFormat="1" ht="63">
      <c r="A65" s="27">
        <v>57</v>
      </c>
      <c r="B65" s="9" t="s">
        <v>120</v>
      </c>
      <c r="C65" s="7" t="s">
        <v>22</v>
      </c>
      <c r="D65" s="85" t="s">
        <v>106</v>
      </c>
      <c r="E65" s="85" t="s">
        <v>106</v>
      </c>
      <c r="F65" s="8" t="s">
        <v>116</v>
      </c>
      <c r="G65" s="10" t="s">
        <v>23</v>
      </c>
      <c r="H65" s="11">
        <v>20</v>
      </c>
      <c r="I65" s="12">
        <f>158/1.12</f>
        <v>141.07142857142856</v>
      </c>
      <c r="J65" s="13">
        <f t="shared" si="2"/>
        <v>2821.4285714285711</v>
      </c>
      <c r="K65" s="14" t="s">
        <v>208</v>
      </c>
      <c r="L65" s="7" t="s">
        <v>208</v>
      </c>
      <c r="M65" s="14" t="s">
        <v>15</v>
      </c>
      <c r="N65" s="15"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</row>
    <row r="66" spans="1:440" s="4" customFormat="1" ht="63">
      <c r="A66" s="27">
        <v>58</v>
      </c>
      <c r="B66" s="9" t="s">
        <v>120</v>
      </c>
      <c r="C66" s="7" t="s">
        <v>22</v>
      </c>
      <c r="D66" s="85" t="s">
        <v>250</v>
      </c>
      <c r="E66" s="85" t="s">
        <v>228</v>
      </c>
      <c r="F66" s="8" t="s">
        <v>116</v>
      </c>
      <c r="G66" s="10" t="s">
        <v>23</v>
      </c>
      <c r="H66" s="11">
        <v>50</v>
      </c>
      <c r="I66" s="12">
        <f>160/1.12</f>
        <v>142.85714285714283</v>
      </c>
      <c r="J66" s="13">
        <f t="shared" si="2"/>
        <v>7142.8571428571413</v>
      </c>
      <c r="K66" s="14" t="s">
        <v>208</v>
      </c>
      <c r="L66" s="7" t="s">
        <v>208</v>
      </c>
      <c r="M66" s="14" t="s">
        <v>15</v>
      </c>
      <c r="N66" s="15"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</row>
    <row r="67" spans="1:440" s="4" customFormat="1" ht="63">
      <c r="A67" s="27">
        <v>59</v>
      </c>
      <c r="B67" s="9" t="s">
        <v>120</v>
      </c>
      <c r="C67" s="7" t="s">
        <v>22</v>
      </c>
      <c r="D67" s="85" t="s">
        <v>249</v>
      </c>
      <c r="E67" s="85" t="s">
        <v>161</v>
      </c>
      <c r="F67" s="8" t="s">
        <v>116</v>
      </c>
      <c r="G67" s="10" t="s">
        <v>23</v>
      </c>
      <c r="H67" s="11">
        <v>50</v>
      </c>
      <c r="I67" s="12">
        <f>260/1.12</f>
        <v>232.14285714285711</v>
      </c>
      <c r="J67" s="13">
        <f t="shared" si="2"/>
        <v>11607.142857142855</v>
      </c>
      <c r="K67" s="14" t="s">
        <v>208</v>
      </c>
      <c r="L67" s="7" t="s">
        <v>208</v>
      </c>
      <c r="M67" s="14" t="s">
        <v>15</v>
      </c>
      <c r="N67" s="15"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</row>
    <row r="68" spans="1:440" s="4" customFormat="1" ht="63">
      <c r="A68" s="27">
        <v>60</v>
      </c>
      <c r="B68" s="9" t="s">
        <v>120</v>
      </c>
      <c r="C68" s="7" t="s">
        <v>22</v>
      </c>
      <c r="D68" s="85" t="s">
        <v>251</v>
      </c>
      <c r="E68" s="85" t="s">
        <v>229</v>
      </c>
      <c r="F68" s="8" t="s">
        <v>116</v>
      </c>
      <c r="G68" s="10" t="s">
        <v>23</v>
      </c>
      <c r="H68" s="11">
        <v>50</v>
      </c>
      <c r="I68" s="12">
        <f>125/1.12</f>
        <v>111.60714285714285</v>
      </c>
      <c r="J68" s="13">
        <f t="shared" si="2"/>
        <v>5580.3571428571422</v>
      </c>
      <c r="K68" s="14" t="s">
        <v>208</v>
      </c>
      <c r="L68" s="7" t="s">
        <v>208</v>
      </c>
      <c r="M68" s="14" t="s">
        <v>15</v>
      </c>
      <c r="N68" s="15"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</row>
    <row r="69" spans="1:440" s="4" customFormat="1" ht="63">
      <c r="A69" s="27">
        <v>61</v>
      </c>
      <c r="B69" s="9" t="s">
        <v>120</v>
      </c>
      <c r="C69" s="7" t="s">
        <v>22</v>
      </c>
      <c r="D69" s="85" t="s">
        <v>252</v>
      </c>
      <c r="E69" s="85" t="s">
        <v>230</v>
      </c>
      <c r="F69" s="8" t="s">
        <v>116</v>
      </c>
      <c r="G69" s="10" t="s">
        <v>23</v>
      </c>
      <c r="H69" s="11">
        <v>50</v>
      </c>
      <c r="I69" s="12">
        <f>205/1.12</f>
        <v>183.03571428571428</v>
      </c>
      <c r="J69" s="13">
        <f t="shared" si="2"/>
        <v>9151.7857142857138</v>
      </c>
      <c r="K69" s="14" t="s">
        <v>208</v>
      </c>
      <c r="L69" s="7" t="s">
        <v>208</v>
      </c>
      <c r="M69" s="14" t="s">
        <v>15</v>
      </c>
      <c r="N69" s="15"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</row>
    <row r="70" spans="1:440" s="4" customFormat="1" ht="63">
      <c r="A70" s="27">
        <v>62</v>
      </c>
      <c r="B70" s="9" t="s">
        <v>120</v>
      </c>
      <c r="C70" s="7" t="s">
        <v>22</v>
      </c>
      <c r="D70" s="85" t="s">
        <v>253</v>
      </c>
      <c r="E70" s="85" t="s">
        <v>231</v>
      </c>
      <c r="F70" s="8" t="s">
        <v>116</v>
      </c>
      <c r="G70" s="10" t="s">
        <v>23</v>
      </c>
      <c r="H70" s="11">
        <v>10</v>
      </c>
      <c r="I70" s="12">
        <f>640/1.12</f>
        <v>571.42857142857133</v>
      </c>
      <c r="J70" s="13">
        <f t="shared" si="2"/>
        <v>5714.2857142857138</v>
      </c>
      <c r="K70" s="14" t="s">
        <v>208</v>
      </c>
      <c r="L70" s="7" t="s">
        <v>208</v>
      </c>
      <c r="M70" s="14" t="s">
        <v>15</v>
      </c>
      <c r="N70" s="15"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</row>
    <row r="71" spans="1:440" s="4" customFormat="1" ht="63">
      <c r="A71" s="27">
        <v>63</v>
      </c>
      <c r="B71" s="9" t="s">
        <v>120</v>
      </c>
      <c r="C71" s="7" t="s">
        <v>22</v>
      </c>
      <c r="D71" s="85" t="s">
        <v>254</v>
      </c>
      <c r="E71" s="85" t="s">
        <v>162</v>
      </c>
      <c r="F71" s="8" t="s">
        <v>116</v>
      </c>
      <c r="G71" s="10" t="s">
        <v>23</v>
      </c>
      <c r="H71" s="11">
        <v>50</v>
      </c>
      <c r="I71" s="12">
        <f>2660/1.12</f>
        <v>2375</v>
      </c>
      <c r="J71" s="13">
        <f t="shared" si="2"/>
        <v>118750</v>
      </c>
      <c r="K71" s="28" t="s">
        <v>206</v>
      </c>
      <c r="L71" s="7" t="s">
        <v>206</v>
      </c>
      <c r="M71" s="14" t="s">
        <v>15</v>
      </c>
      <c r="N71" s="15"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</row>
    <row r="72" spans="1:440" s="4" customFormat="1" ht="63">
      <c r="A72" s="27">
        <v>64</v>
      </c>
      <c r="B72" s="9" t="s">
        <v>120</v>
      </c>
      <c r="C72" s="7" t="s">
        <v>22</v>
      </c>
      <c r="D72" s="85" t="s">
        <v>255</v>
      </c>
      <c r="E72" s="85" t="s">
        <v>232</v>
      </c>
      <c r="F72" s="8" t="s">
        <v>116</v>
      </c>
      <c r="G72" s="10" t="s">
        <v>23</v>
      </c>
      <c r="H72" s="11">
        <v>50</v>
      </c>
      <c r="I72" s="12">
        <f>129/1.12</f>
        <v>115.17857142857142</v>
      </c>
      <c r="J72" s="13">
        <f t="shared" si="2"/>
        <v>5758.9285714285706</v>
      </c>
      <c r="K72" s="14" t="s">
        <v>208</v>
      </c>
      <c r="L72" s="7" t="s">
        <v>208</v>
      </c>
      <c r="M72" s="14" t="s">
        <v>15</v>
      </c>
      <c r="N72" s="15"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</row>
    <row r="73" spans="1:440" s="4" customFormat="1" ht="63">
      <c r="A73" s="27">
        <v>65</v>
      </c>
      <c r="B73" s="9" t="s">
        <v>120</v>
      </c>
      <c r="C73" s="7" t="s">
        <v>22</v>
      </c>
      <c r="D73" s="85" t="s">
        <v>107</v>
      </c>
      <c r="E73" s="85" t="s">
        <v>84</v>
      </c>
      <c r="F73" s="8" t="s">
        <v>116</v>
      </c>
      <c r="G73" s="10" t="s">
        <v>23</v>
      </c>
      <c r="H73" s="11">
        <v>50</v>
      </c>
      <c r="I73" s="12">
        <f>199/1.12</f>
        <v>177.67857142857142</v>
      </c>
      <c r="J73" s="13">
        <f t="shared" si="2"/>
        <v>8883.9285714285706</v>
      </c>
      <c r="K73" s="14" t="s">
        <v>208</v>
      </c>
      <c r="L73" s="7" t="s">
        <v>208</v>
      </c>
      <c r="M73" s="14" t="s">
        <v>15</v>
      </c>
      <c r="N73" s="15"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</row>
    <row r="74" spans="1:440" s="4" customFormat="1" ht="63">
      <c r="A74" s="27">
        <v>66</v>
      </c>
      <c r="B74" s="9" t="s">
        <v>120</v>
      </c>
      <c r="C74" s="7" t="s">
        <v>22</v>
      </c>
      <c r="D74" s="85" t="s">
        <v>108</v>
      </c>
      <c r="E74" s="85" t="s">
        <v>85</v>
      </c>
      <c r="F74" s="8" t="s">
        <v>116</v>
      </c>
      <c r="G74" s="10" t="s">
        <v>23</v>
      </c>
      <c r="H74" s="11">
        <v>50</v>
      </c>
      <c r="I74" s="12">
        <f>265/1.12</f>
        <v>236.60714285714283</v>
      </c>
      <c r="J74" s="13">
        <f t="shared" si="2"/>
        <v>11830.357142857141</v>
      </c>
      <c r="K74" s="14" t="s">
        <v>208</v>
      </c>
      <c r="L74" s="7" t="s">
        <v>208</v>
      </c>
      <c r="M74" s="14" t="s">
        <v>15</v>
      </c>
      <c r="N74" s="15"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</row>
    <row r="75" spans="1:440" s="4" customFormat="1" ht="63">
      <c r="A75" s="27">
        <v>67</v>
      </c>
      <c r="B75" s="9" t="s">
        <v>120</v>
      </c>
      <c r="C75" s="7" t="s">
        <v>22</v>
      </c>
      <c r="D75" s="85" t="s">
        <v>109</v>
      </c>
      <c r="E75" s="85" t="s">
        <v>86</v>
      </c>
      <c r="F75" s="8" t="s">
        <v>116</v>
      </c>
      <c r="G75" s="10" t="s">
        <v>23</v>
      </c>
      <c r="H75" s="11">
        <v>50</v>
      </c>
      <c r="I75" s="12">
        <f>665/1.12</f>
        <v>593.75</v>
      </c>
      <c r="J75" s="13">
        <f t="shared" si="2"/>
        <v>29687.5</v>
      </c>
      <c r="K75" s="14" t="s">
        <v>208</v>
      </c>
      <c r="L75" s="7" t="s">
        <v>208</v>
      </c>
      <c r="M75" s="14" t="s">
        <v>15</v>
      </c>
      <c r="N75" s="15"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</row>
    <row r="76" spans="1:440" s="4" customFormat="1" ht="63">
      <c r="A76" s="27">
        <v>68</v>
      </c>
      <c r="B76" s="9" t="s">
        <v>120</v>
      </c>
      <c r="C76" s="7" t="s">
        <v>22</v>
      </c>
      <c r="D76" s="85" t="s">
        <v>256</v>
      </c>
      <c r="E76" s="85" t="s">
        <v>233</v>
      </c>
      <c r="F76" s="8" t="s">
        <v>116</v>
      </c>
      <c r="G76" s="10" t="s">
        <v>23</v>
      </c>
      <c r="H76" s="11">
        <v>100</v>
      </c>
      <c r="I76" s="12">
        <f>25/1.12</f>
        <v>22.321428571428569</v>
      </c>
      <c r="J76" s="13">
        <f t="shared" si="2"/>
        <v>2232.1428571428569</v>
      </c>
      <c r="K76" s="14" t="s">
        <v>208</v>
      </c>
      <c r="L76" s="7" t="s">
        <v>208</v>
      </c>
      <c r="M76" s="14" t="s">
        <v>15</v>
      </c>
      <c r="N76" s="15"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</row>
    <row r="77" spans="1:440" s="4" customFormat="1" ht="63">
      <c r="A77" s="27">
        <v>69</v>
      </c>
      <c r="B77" s="9" t="s">
        <v>120</v>
      </c>
      <c r="C77" s="7" t="s">
        <v>22</v>
      </c>
      <c r="D77" s="85" t="s">
        <v>55</v>
      </c>
      <c r="E77" s="85" t="s">
        <v>234</v>
      </c>
      <c r="F77" s="8" t="s">
        <v>116</v>
      </c>
      <c r="G77" s="10" t="s">
        <v>23</v>
      </c>
      <c r="H77" s="11">
        <v>50</v>
      </c>
      <c r="I77" s="12">
        <f>270/1.12</f>
        <v>241.07142857142856</v>
      </c>
      <c r="J77" s="13">
        <f t="shared" si="2"/>
        <v>12053.571428571428</v>
      </c>
      <c r="K77" s="14" t="s">
        <v>208</v>
      </c>
      <c r="L77" s="7" t="s">
        <v>208</v>
      </c>
      <c r="M77" s="14" t="s">
        <v>15</v>
      </c>
      <c r="N77" s="15"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</row>
    <row r="78" spans="1:440" s="4" customFormat="1" ht="63">
      <c r="A78" s="27">
        <v>70</v>
      </c>
      <c r="B78" s="9" t="s">
        <v>120</v>
      </c>
      <c r="C78" s="7" t="s">
        <v>22</v>
      </c>
      <c r="D78" s="85" t="s">
        <v>257</v>
      </c>
      <c r="E78" s="85" t="s">
        <v>163</v>
      </c>
      <c r="F78" s="8" t="s">
        <v>116</v>
      </c>
      <c r="G78" s="10" t="s">
        <v>23</v>
      </c>
      <c r="H78" s="11">
        <v>15</v>
      </c>
      <c r="I78" s="12">
        <f>515/1.12</f>
        <v>459.82142857142856</v>
      </c>
      <c r="J78" s="13">
        <f t="shared" si="2"/>
        <v>6897.3214285714284</v>
      </c>
      <c r="K78" s="14" t="s">
        <v>208</v>
      </c>
      <c r="L78" s="7" t="s">
        <v>208</v>
      </c>
      <c r="M78" s="14" t="s">
        <v>15</v>
      </c>
      <c r="N78" s="15"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</row>
    <row r="79" spans="1:440" s="4" customFormat="1" ht="63">
      <c r="A79" s="27">
        <v>71</v>
      </c>
      <c r="B79" s="9" t="s">
        <v>120</v>
      </c>
      <c r="C79" s="7" t="s">
        <v>22</v>
      </c>
      <c r="D79" s="85" t="s">
        <v>258</v>
      </c>
      <c r="E79" s="85" t="s">
        <v>235</v>
      </c>
      <c r="F79" s="8" t="s">
        <v>116</v>
      </c>
      <c r="G79" s="10" t="s">
        <v>23</v>
      </c>
      <c r="H79" s="11">
        <v>10</v>
      </c>
      <c r="I79" s="12">
        <f>320/1.12</f>
        <v>285.71428571428567</v>
      </c>
      <c r="J79" s="13">
        <f t="shared" si="2"/>
        <v>2857.1428571428569</v>
      </c>
      <c r="K79" s="14" t="s">
        <v>208</v>
      </c>
      <c r="L79" s="7" t="s">
        <v>208</v>
      </c>
      <c r="M79" s="14" t="s">
        <v>15</v>
      </c>
      <c r="N79" s="15"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</row>
    <row r="80" spans="1:440" s="4" customFormat="1" ht="63">
      <c r="A80" s="27">
        <v>72</v>
      </c>
      <c r="B80" s="9" t="s">
        <v>120</v>
      </c>
      <c r="C80" s="7" t="s">
        <v>22</v>
      </c>
      <c r="D80" s="85" t="s">
        <v>259</v>
      </c>
      <c r="E80" s="85" t="s">
        <v>236</v>
      </c>
      <c r="F80" s="8" t="s">
        <v>116</v>
      </c>
      <c r="G80" s="10" t="s">
        <v>23</v>
      </c>
      <c r="H80" s="11">
        <v>1000</v>
      </c>
      <c r="I80" s="12">
        <f>18/1.12</f>
        <v>16.071428571428569</v>
      </c>
      <c r="J80" s="13">
        <f t="shared" si="2"/>
        <v>16071.428571428569</v>
      </c>
      <c r="K80" s="14" t="s">
        <v>208</v>
      </c>
      <c r="L80" s="7" t="s">
        <v>208</v>
      </c>
      <c r="M80" s="14" t="s">
        <v>15</v>
      </c>
      <c r="N80" s="15"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</row>
    <row r="81" spans="1:440" s="4" customFormat="1" ht="63">
      <c r="A81" s="27">
        <v>73</v>
      </c>
      <c r="B81" s="9" t="s">
        <v>120</v>
      </c>
      <c r="C81" s="7" t="s">
        <v>22</v>
      </c>
      <c r="D81" s="85" t="s">
        <v>260</v>
      </c>
      <c r="E81" s="85" t="s">
        <v>237</v>
      </c>
      <c r="F81" s="8" t="s">
        <v>116</v>
      </c>
      <c r="G81" s="10" t="s">
        <v>23</v>
      </c>
      <c r="H81" s="11">
        <v>50</v>
      </c>
      <c r="I81" s="12">
        <f>145/1.12</f>
        <v>129.46428571428569</v>
      </c>
      <c r="J81" s="13">
        <f t="shared" si="2"/>
        <v>6473.2142857142844</v>
      </c>
      <c r="K81" s="14" t="s">
        <v>208</v>
      </c>
      <c r="L81" s="7" t="s">
        <v>208</v>
      </c>
      <c r="M81" s="14" t="s">
        <v>15</v>
      </c>
      <c r="N81" s="15"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</row>
    <row r="82" spans="1:440" s="4" customFormat="1" ht="63">
      <c r="A82" s="27">
        <v>74</v>
      </c>
      <c r="B82" s="9" t="s">
        <v>120</v>
      </c>
      <c r="C82" s="7" t="s">
        <v>22</v>
      </c>
      <c r="D82" s="85" t="s">
        <v>261</v>
      </c>
      <c r="E82" s="85" t="s">
        <v>238</v>
      </c>
      <c r="F82" s="8" t="s">
        <v>116</v>
      </c>
      <c r="G82" s="10" t="s">
        <v>23</v>
      </c>
      <c r="H82" s="11">
        <v>50</v>
      </c>
      <c r="I82" s="12">
        <f>50/1.12</f>
        <v>44.642857142857139</v>
      </c>
      <c r="J82" s="13">
        <f t="shared" si="2"/>
        <v>2232.1428571428569</v>
      </c>
      <c r="K82" s="14" t="s">
        <v>208</v>
      </c>
      <c r="L82" s="7" t="s">
        <v>208</v>
      </c>
      <c r="M82" s="14" t="s">
        <v>15</v>
      </c>
      <c r="N82" s="15"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</row>
    <row r="83" spans="1:440" s="4" customFormat="1" ht="63">
      <c r="A83" s="27">
        <v>75</v>
      </c>
      <c r="B83" s="9" t="s">
        <v>120</v>
      </c>
      <c r="C83" s="7" t="s">
        <v>22</v>
      </c>
      <c r="D83" s="85" t="s">
        <v>262</v>
      </c>
      <c r="E83" s="85" t="s">
        <v>239</v>
      </c>
      <c r="F83" s="8" t="s">
        <v>116</v>
      </c>
      <c r="G83" s="10" t="s">
        <v>23</v>
      </c>
      <c r="H83" s="11">
        <v>10</v>
      </c>
      <c r="I83" s="12">
        <f>595/1.12</f>
        <v>531.25</v>
      </c>
      <c r="J83" s="13">
        <f t="shared" si="2"/>
        <v>5312.5</v>
      </c>
      <c r="K83" s="14" t="s">
        <v>208</v>
      </c>
      <c r="L83" s="7" t="s">
        <v>208</v>
      </c>
      <c r="M83" s="14" t="s">
        <v>15</v>
      </c>
      <c r="N83" s="15"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</row>
    <row r="84" spans="1:440" s="4" customFormat="1" ht="63">
      <c r="A84" s="27">
        <v>76</v>
      </c>
      <c r="B84" s="9" t="s">
        <v>120</v>
      </c>
      <c r="C84" s="7" t="s">
        <v>22</v>
      </c>
      <c r="D84" s="85" t="s">
        <v>263</v>
      </c>
      <c r="E84" s="85" t="s">
        <v>240</v>
      </c>
      <c r="F84" s="8" t="s">
        <v>116</v>
      </c>
      <c r="G84" s="10" t="s">
        <v>23</v>
      </c>
      <c r="H84" s="11">
        <v>50</v>
      </c>
      <c r="I84" s="12">
        <f>485/1.12</f>
        <v>433.03571428571422</v>
      </c>
      <c r="J84" s="13">
        <f t="shared" si="2"/>
        <v>21651.78571428571</v>
      </c>
      <c r="K84" s="14" t="s">
        <v>208</v>
      </c>
      <c r="L84" s="7" t="s">
        <v>208</v>
      </c>
      <c r="M84" s="14" t="s">
        <v>15</v>
      </c>
      <c r="N84" s="15"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</row>
    <row r="85" spans="1:440" s="4" customFormat="1" ht="63">
      <c r="A85" s="27">
        <v>77</v>
      </c>
      <c r="B85" s="9" t="s">
        <v>120</v>
      </c>
      <c r="C85" s="7" t="s">
        <v>22</v>
      </c>
      <c r="D85" s="85" t="s">
        <v>264</v>
      </c>
      <c r="E85" s="85" t="s">
        <v>241</v>
      </c>
      <c r="F85" s="8" t="s">
        <v>116</v>
      </c>
      <c r="G85" s="10" t="s">
        <v>23</v>
      </c>
      <c r="H85" s="11">
        <v>20</v>
      </c>
      <c r="I85" s="12">
        <f>120/1.12</f>
        <v>107.14285714285714</v>
      </c>
      <c r="J85" s="13">
        <f t="shared" si="2"/>
        <v>2142.8571428571427</v>
      </c>
      <c r="K85" s="14" t="s">
        <v>208</v>
      </c>
      <c r="L85" s="7" t="s">
        <v>208</v>
      </c>
      <c r="M85" s="14" t="s">
        <v>15</v>
      </c>
      <c r="N85" s="15"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</row>
    <row r="86" spans="1:440" s="4" customFormat="1" ht="63">
      <c r="A86" s="27">
        <v>78</v>
      </c>
      <c r="B86" s="9" t="s">
        <v>120</v>
      </c>
      <c r="C86" s="7" t="s">
        <v>22</v>
      </c>
      <c r="D86" s="85" t="s">
        <v>265</v>
      </c>
      <c r="E86" s="85" t="s">
        <v>242</v>
      </c>
      <c r="F86" s="8" t="s">
        <v>116</v>
      </c>
      <c r="G86" s="10" t="s">
        <v>23</v>
      </c>
      <c r="H86" s="11">
        <v>20</v>
      </c>
      <c r="I86" s="12">
        <f>270/1.12</f>
        <v>241.07142857142856</v>
      </c>
      <c r="J86" s="13">
        <f t="shared" si="2"/>
        <v>4821.4285714285706</v>
      </c>
      <c r="K86" s="14" t="s">
        <v>208</v>
      </c>
      <c r="L86" s="7" t="s">
        <v>208</v>
      </c>
      <c r="M86" s="14" t="s">
        <v>15</v>
      </c>
      <c r="N86" s="15"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</row>
    <row r="87" spans="1:440" s="4" customFormat="1" ht="63">
      <c r="A87" s="27">
        <v>79</v>
      </c>
      <c r="B87" s="9" t="s">
        <v>120</v>
      </c>
      <c r="C87" s="7" t="s">
        <v>22</v>
      </c>
      <c r="D87" s="85" t="s">
        <v>243</v>
      </c>
      <c r="E87" s="85" t="s">
        <v>243</v>
      </c>
      <c r="F87" s="8" t="s">
        <v>116</v>
      </c>
      <c r="G87" s="10" t="s">
        <v>23</v>
      </c>
      <c r="H87" s="11">
        <v>50</v>
      </c>
      <c r="I87" s="12">
        <f>520/1.12</f>
        <v>464.28571428571422</v>
      </c>
      <c r="J87" s="13">
        <f t="shared" si="2"/>
        <v>23214.28571428571</v>
      </c>
      <c r="K87" s="14" t="s">
        <v>208</v>
      </c>
      <c r="L87" s="7" t="s">
        <v>208</v>
      </c>
      <c r="M87" s="14" t="s">
        <v>15</v>
      </c>
      <c r="N87" s="15"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</row>
    <row r="88" spans="1:440" s="4" customFormat="1" ht="63">
      <c r="A88" s="27">
        <v>80</v>
      </c>
      <c r="B88" s="9" t="s">
        <v>120</v>
      </c>
      <c r="C88" s="7" t="s">
        <v>22</v>
      </c>
      <c r="D88" s="85" t="s">
        <v>244</v>
      </c>
      <c r="E88" s="85" t="s">
        <v>244</v>
      </c>
      <c r="F88" s="8" t="s">
        <v>116</v>
      </c>
      <c r="G88" s="10" t="s">
        <v>23</v>
      </c>
      <c r="H88" s="11">
        <v>50</v>
      </c>
      <c r="I88" s="12">
        <f>525/1.12</f>
        <v>468.74999999999994</v>
      </c>
      <c r="J88" s="13">
        <f t="shared" si="2"/>
        <v>23437.499999999996</v>
      </c>
      <c r="K88" s="14" t="s">
        <v>208</v>
      </c>
      <c r="L88" s="7" t="s">
        <v>208</v>
      </c>
      <c r="M88" s="14" t="s">
        <v>15</v>
      </c>
      <c r="N88" s="15"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</row>
    <row r="89" spans="1:440" s="4" customFormat="1" ht="63">
      <c r="A89" s="27">
        <v>81</v>
      </c>
      <c r="B89" s="9" t="s">
        <v>120</v>
      </c>
      <c r="C89" s="7" t="s">
        <v>22</v>
      </c>
      <c r="D89" s="85" t="s">
        <v>266</v>
      </c>
      <c r="E89" s="85" t="s">
        <v>245</v>
      </c>
      <c r="F89" s="8" t="s">
        <v>116</v>
      </c>
      <c r="G89" s="10" t="s">
        <v>23</v>
      </c>
      <c r="H89" s="11">
        <v>20</v>
      </c>
      <c r="I89" s="12">
        <f>80/1.12</f>
        <v>71.428571428571416</v>
      </c>
      <c r="J89" s="13">
        <f t="shared" si="2"/>
        <v>1428.5714285714284</v>
      </c>
      <c r="K89" s="14" t="s">
        <v>208</v>
      </c>
      <c r="L89" s="7" t="s">
        <v>208</v>
      </c>
      <c r="M89" s="14" t="s">
        <v>15</v>
      </c>
      <c r="N89" s="15"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</row>
    <row r="90" spans="1:440" s="4" customFormat="1" ht="63">
      <c r="A90" s="27">
        <v>82</v>
      </c>
      <c r="B90" s="9" t="s">
        <v>120</v>
      </c>
      <c r="C90" s="7" t="s">
        <v>22</v>
      </c>
      <c r="D90" s="85" t="s">
        <v>267</v>
      </c>
      <c r="E90" s="85" t="s">
        <v>246</v>
      </c>
      <c r="F90" s="8" t="s">
        <v>116</v>
      </c>
      <c r="G90" s="10" t="s">
        <v>23</v>
      </c>
      <c r="H90" s="11">
        <v>100</v>
      </c>
      <c r="I90" s="12">
        <f>200/1.12</f>
        <v>178.57142857142856</v>
      </c>
      <c r="J90" s="13">
        <f t="shared" si="2"/>
        <v>17857.142857142855</v>
      </c>
      <c r="K90" s="14" t="s">
        <v>208</v>
      </c>
      <c r="L90" s="7" t="s">
        <v>208</v>
      </c>
      <c r="M90" s="14" t="s">
        <v>15</v>
      </c>
      <c r="N90" s="15"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</row>
    <row r="91" spans="1:440" s="4" customFormat="1" ht="63">
      <c r="A91" s="27">
        <v>83</v>
      </c>
      <c r="B91" s="9" t="s">
        <v>120</v>
      </c>
      <c r="C91" s="7" t="s">
        <v>22</v>
      </c>
      <c r="D91" s="85" t="s">
        <v>268</v>
      </c>
      <c r="E91" s="85" t="s">
        <v>247</v>
      </c>
      <c r="F91" s="8" t="s">
        <v>116</v>
      </c>
      <c r="G91" s="10" t="s">
        <v>23</v>
      </c>
      <c r="H91" s="11">
        <v>10</v>
      </c>
      <c r="I91" s="12">
        <f>405/1.12</f>
        <v>361.60714285714283</v>
      </c>
      <c r="J91" s="13">
        <f t="shared" si="2"/>
        <v>3616.0714285714284</v>
      </c>
      <c r="K91" s="14" t="s">
        <v>208</v>
      </c>
      <c r="L91" s="7" t="s">
        <v>208</v>
      </c>
      <c r="M91" s="14" t="s">
        <v>15</v>
      </c>
      <c r="N91" s="15"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</row>
    <row r="92" spans="1:440" s="4" customFormat="1" ht="63">
      <c r="A92" s="27">
        <v>84</v>
      </c>
      <c r="B92" s="9" t="s">
        <v>120</v>
      </c>
      <c r="C92" s="7" t="s">
        <v>22</v>
      </c>
      <c r="D92" s="85" t="s">
        <v>269</v>
      </c>
      <c r="E92" s="85" t="s">
        <v>189</v>
      </c>
      <c r="F92" s="8" t="s">
        <v>116</v>
      </c>
      <c r="G92" s="10" t="s">
        <v>23</v>
      </c>
      <c r="H92" s="11">
        <v>50</v>
      </c>
      <c r="I92" s="12">
        <f>75/1.12</f>
        <v>66.964285714285708</v>
      </c>
      <c r="J92" s="13">
        <f t="shared" si="2"/>
        <v>3348.2142857142853</v>
      </c>
      <c r="K92" s="14" t="s">
        <v>208</v>
      </c>
      <c r="L92" s="7" t="s">
        <v>208</v>
      </c>
      <c r="M92" s="14" t="s">
        <v>15</v>
      </c>
      <c r="N92" s="15"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</row>
    <row r="93" spans="1:440" s="4" customFormat="1" ht="63">
      <c r="A93" s="27">
        <v>85</v>
      </c>
      <c r="B93" s="9" t="s">
        <v>120</v>
      </c>
      <c r="C93" s="7" t="s">
        <v>22</v>
      </c>
      <c r="D93" s="85" t="s">
        <v>271</v>
      </c>
      <c r="E93" s="85" t="s">
        <v>270</v>
      </c>
      <c r="F93" s="8" t="s">
        <v>116</v>
      </c>
      <c r="G93" s="10" t="s">
        <v>23</v>
      </c>
      <c r="H93" s="11">
        <v>20</v>
      </c>
      <c r="I93" s="12">
        <f>845/1.12</f>
        <v>754.46428571428567</v>
      </c>
      <c r="J93" s="13">
        <f t="shared" si="2"/>
        <v>15089.285714285714</v>
      </c>
      <c r="K93" s="14" t="s">
        <v>208</v>
      </c>
      <c r="L93" s="7" t="s">
        <v>208</v>
      </c>
      <c r="M93" s="14" t="s">
        <v>15</v>
      </c>
      <c r="N93" s="15"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</row>
    <row r="94" spans="1:440" s="4" customFormat="1" ht="63">
      <c r="A94" s="27">
        <v>86</v>
      </c>
      <c r="B94" s="9" t="s">
        <v>120</v>
      </c>
      <c r="C94" s="7" t="s">
        <v>22</v>
      </c>
      <c r="D94" s="85" t="s">
        <v>272</v>
      </c>
      <c r="E94" s="85" t="s">
        <v>248</v>
      </c>
      <c r="F94" s="8" t="s">
        <v>116</v>
      </c>
      <c r="G94" s="10" t="s">
        <v>23</v>
      </c>
      <c r="H94" s="11">
        <v>20</v>
      </c>
      <c r="I94" s="12">
        <f>70/1.12</f>
        <v>62.499999999999993</v>
      </c>
      <c r="J94" s="13">
        <f t="shared" si="2"/>
        <v>1249.9999999999998</v>
      </c>
      <c r="K94" s="14" t="s">
        <v>208</v>
      </c>
      <c r="L94" s="7" t="s">
        <v>208</v>
      </c>
      <c r="M94" s="14" t="s">
        <v>15</v>
      </c>
      <c r="N94" s="15"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</row>
    <row r="95" spans="1:440" s="3" customFormat="1" ht="63">
      <c r="A95" s="27">
        <v>87</v>
      </c>
      <c r="B95" s="9" t="s">
        <v>120</v>
      </c>
      <c r="C95" s="7" t="s">
        <v>11</v>
      </c>
      <c r="D95" s="85" t="s">
        <v>180</v>
      </c>
      <c r="E95" s="85" t="s">
        <v>179</v>
      </c>
      <c r="F95" s="8" t="s">
        <v>116</v>
      </c>
      <c r="G95" s="10" t="s">
        <v>14</v>
      </c>
      <c r="H95" s="11">
        <v>1</v>
      </c>
      <c r="I95" s="12">
        <f>117100/1.12</f>
        <v>104553.57142857142</v>
      </c>
      <c r="J95" s="13">
        <f t="shared" si="2"/>
        <v>104553.57142857142</v>
      </c>
      <c r="K95" s="28" t="s">
        <v>206</v>
      </c>
      <c r="L95" s="28" t="s">
        <v>206</v>
      </c>
      <c r="M95" s="14" t="s">
        <v>15</v>
      </c>
      <c r="N95" s="15">
        <v>0</v>
      </c>
    </row>
    <row r="96" spans="1:440" s="3" customFormat="1" ht="63">
      <c r="A96" s="27">
        <v>88</v>
      </c>
      <c r="B96" s="9" t="s">
        <v>120</v>
      </c>
      <c r="C96" s="7" t="s">
        <v>11</v>
      </c>
      <c r="D96" s="85" t="s">
        <v>178</v>
      </c>
      <c r="E96" s="85" t="s">
        <v>177</v>
      </c>
      <c r="F96" s="8" t="s">
        <v>116</v>
      </c>
      <c r="G96" s="10" t="s">
        <v>14</v>
      </c>
      <c r="H96" s="11">
        <v>1</v>
      </c>
      <c r="I96" s="12">
        <f>77000/1.12</f>
        <v>68750</v>
      </c>
      <c r="J96" s="13">
        <f t="shared" si="2"/>
        <v>68750</v>
      </c>
      <c r="K96" s="14" t="s">
        <v>208</v>
      </c>
      <c r="L96" s="7" t="s">
        <v>208</v>
      </c>
      <c r="M96" s="14" t="s">
        <v>15</v>
      </c>
      <c r="N96" s="15">
        <v>0</v>
      </c>
    </row>
    <row r="97" spans="1:15" s="3" customFormat="1" ht="63">
      <c r="A97" s="27">
        <v>89</v>
      </c>
      <c r="B97" s="9" t="s">
        <v>120</v>
      </c>
      <c r="C97" s="7" t="s">
        <v>11</v>
      </c>
      <c r="D97" s="85" t="s">
        <v>333</v>
      </c>
      <c r="E97" s="85" t="s">
        <v>305</v>
      </c>
      <c r="F97" s="8" t="s">
        <v>116</v>
      </c>
      <c r="G97" s="10" t="s">
        <v>14</v>
      </c>
      <c r="H97" s="11">
        <v>1</v>
      </c>
      <c r="I97" s="12">
        <f>146000/1.12</f>
        <v>130357.14285714284</v>
      </c>
      <c r="J97" s="13">
        <f t="shared" si="2"/>
        <v>130357.14285714284</v>
      </c>
      <c r="K97" s="14" t="s">
        <v>208</v>
      </c>
      <c r="L97" s="7" t="s">
        <v>208</v>
      </c>
      <c r="M97" s="14" t="s">
        <v>15</v>
      </c>
      <c r="N97" s="15">
        <v>0</v>
      </c>
    </row>
    <row r="98" spans="1:15" s="3" customFormat="1" ht="63">
      <c r="A98" s="27">
        <v>90</v>
      </c>
      <c r="B98" s="9" t="s">
        <v>120</v>
      </c>
      <c r="C98" s="7" t="s">
        <v>11</v>
      </c>
      <c r="D98" s="85" t="s">
        <v>358</v>
      </c>
      <c r="E98" s="85" t="s">
        <v>357</v>
      </c>
      <c r="F98" s="8" t="s">
        <v>116</v>
      </c>
      <c r="G98" s="10" t="s">
        <v>14</v>
      </c>
      <c r="H98" s="11">
        <v>1</v>
      </c>
      <c r="I98" s="12">
        <f>160500/1.12</f>
        <v>143303.57142857142</v>
      </c>
      <c r="J98" s="13">
        <f t="shared" si="2"/>
        <v>143303.57142857142</v>
      </c>
      <c r="K98" s="14" t="s">
        <v>208</v>
      </c>
      <c r="L98" s="7" t="s">
        <v>204</v>
      </c>
      <c r="M98" s="14" t="s">
        <v>15</v>
      </c>
      <c r="N98" s="15">
        <v>0</v>
      </c>
    </row>
    <row r="99" spans="1:15" s="3" customFormat="1" ht="63">
      <c r="A99" s="27">
        <v>91</v>
      </c>
      <c r="B99" s="9" t="s">
        <v>120</v>
      </c>
      <c r="C99" s="7" t="s">
        <v>11</v>
      </c>
      <c r="D99" s="85" t="s">
        <v>334</v>
      </c>
      <c r="E99" s="85" t="s">
        <v>306</v>
      </c>
      <c r="F99" s="8" t="s">
        <v>116</v>
      </c>
      <c r="G99" s="10" t="s">
        <v>14</v>
      </c>
      <c r="H99" s="11">
        <v>1</v>
      </c>
      <c r="I99" s="12">
        <f>124000/1.12</f>
        <v>110714.28571428571</v>
      </c>
      <c r="J99" s="13">
        <f t="shared" si="2"/>
        <v>110714.28571428571</v>
      </c>
      <c r="K99" s="14" t="s">
        <v>208</v>
      </c>
      <c r="L99" s="7" t="s">
        <v>208</v>
      </c>
      <c r="M99" s="14" t="s">
        <v>15</v>
      </c>
      <c r="N99" s="15">
        <v>0</v>
      </c>
    </row>
    <row r="100" spans="1:15" s="3" customFormat="1" ht="63">
      <c r="A100" s="27">
        <v>92</v>
      </c>
      <c r="B100" s="9" t="s">
        <v>120</v>
      </c>
      <c r="C100" s="7" t="s">
        <v>11</v>
      </c>
      <c r="D100" s="85" t="s">
        <v>335</v>
      </c>
      <c r="E100" s="85" t="s">
        <v>307</v>
      </c>
      <c r="F100" s="8" t="s">
        <v>116</v>
      </c>
      <c r="G100" s="10" t="s">
        <v>14</v>
      </c>
      <c r="H100" s="11">
        <v>1</v>
      </c>
      <c r="I100" s="12">
        <f>30000/1.12</f>
        <v>26785.714285714283</v>
      </c>
      <c r="J100" s="13">
        <f t="shared" si="2"/>
        <v>26785.714285714283</v>
      </c>
      <c r="K100" s="28" t="s">
        <v>206</v>
      </c>
      <c r="L100" s="7" t="s">
        <v>206</v>
      </c>
      <c r="M100" s="14" t="s">
        <v>15</v>
      </c>
      <c r="N100" s="15">
        <v>0</v>
      </c>
    </row>
    <row r="101" spans="1:15" s="3" customFormat="1" ht="63">
      <c r="A101" s="27">
        <v>93</v>
      </c>
      <c r="B101" s="9" t="s">
        <v>120</v>
      </c>
      <c r="C101" s="7" t="s">
        <v>11</v>
      </c>
      <c r="D101" s="85" t="s">
        <v>342</v>
      </c>
      <c r="E101" s="85" t="s">
        <v>308</v>
      </c>
      <c r="F101" s="8" t="s">
        <v>116</v>
      </c>
      <c r="G101" s="10" t="s">
        <v>14</v>
      </c>
      <c r="H101" s="11">
        <v>1</v>
      </c>
      <c r="I101" s="12">
        <f>374500/1.12</f>
        <v>334374.99999999994</v>
      </c>
      <c r="J101" s="13">
        <f t="shared" ref="J101" si="5">H101*I101</f>
        <v>334374.99999999994</v>
      </c>
      <c r="K101" s="7" t="s">
        <v>207</v>
      </c>
      <c r="L101" s="7" t="s">
        <v>207</v>
      </c>
      <c r="M101" s="14" t="s">
        <v>15</v>
      </c>
      <c r="N101" s="15">
        <v>0</v>
      </c>
    </row>
    <row r="102" spans="1:15" s="3" customFormat="1" ht="63">
      <c r="A102" s="27">
        <v>94</v>
      </c>
      <c r="B102" s="9" t="s">
        <v>120</v>
      </c>
      <c r="C102" s="7" t="s">
        <v>11</v>
      </c>
      <c r="D102" s="85" t="s">
        <v>192</v>
      </c>
      <c r="E102" s="85" t="s">
        <v>160</v>
      </c>
      <c r="F102" s="8" t="s">
        <v>159</v>
      </c>
      <c r="G102" s="10" t="s">
        <v>14</v>
      </c>
      <c r="H102" s="11">
        <v>1</v>
      </c>
      <c r="I102" s="12">
        <f>3960000-523636.36</f>
        <v>3436363.64</v>
      </c>
      <c r="J102" s="13">
        <f>I102</f>
        <v>3436363.64</v>
      </c>
      <c r="K102" s="28" t="s">
        <v>206</v>
      </c>
      <c r="L102" s="7" t="s">
        <v>201</v>
      </c>
      <c r="M102" s="14" t="s">
        <v>15</v>
      </c>
      <c r="N102" s="15">
        <v>0</v>
      </c>
      <c r="O102" s="145"/>
    </row>
    <row r="103" spans="1:15" s="3" customFormat="1" ht="63">
      <c r="A103" s="27">
        <v>95</v>
      </c>
      <c r="B103" s="9" t="s">
        <v>120</v>
      </c>
      <c r="C103" s="7" t="s">
        <v>11</v>
      </c>
      <c r="D103" s="85" t="s">
        <v>193</v>
      </c>
      <c r="E103" s="85" t="s">
        <v>34</v>
      </c>
      <c r="F103" s="8" t="s">
        <v>159</v>
      </c>
      <c r="G103" s="10" t="s">
        <v>14</v>
      </c>
      <c r="H103" s="11">
        <v>1</v>
      </c>
      <c r="I103" s="12">
        <f>3960000-523636.36</f>
        <v>3436363.64</v>
      </c>
      <c r="J103" s="13">
        <f>I103</f>
        <v>3436363.64</v>
      </c>
      <c r="K103" s="28" t="s">
        <v>206</v>
      </c>
      <c r="L103" s="7" t="s">
        <v>201</v>
      </c>
      <c r="M103" s="14" t="s">
        <v>15</v>
      </c>
      <c r="N103" s="15">
        <v>0</v>
      </c>
      <c r="O103" s="145"/>
    </row>
    <row r="104" spans="1:15" s="3" customFormat="1" ht="110.25">
      <c r="A104" s="27">
        <v>96</v>
      </c>
      <c r="B104" s="9" t="s">
        <v>120</v>
      </c>
      <c r="C104" s="7" t="s">
        <v>11</v>
      </c>
      <c r="D104" s="85" t="s">
        <v>112</v>
      </c>
      <c r="E104" s="85" t="s">
        <v>111</v>
      </c>
      <c r="F104" s="8" t="s">
        <v>191</v>
      </c>
      <c r="G104" s="10" t="s">
        <v>14</v>
      </c>
      <c r="H104" s="11">
        <v>1</v>
      </c>
      <c r="I104" s="12">
        <f>1005363.611-118326.22</f>
        <v>887037.39100000006</v>
      </c>
      <c r="J104" s="13">
        <f t="shared" ref="J104:J106" si="6">I104</f>
        <v>887037.39100000006</v>
      </c>
      <c r="K104" s="28" t="s">
        <v>206</v>
      </c>
      <c r="L104" s="7" t="s">
        <v>201</v>
      </c>
      <c r="M104" s="14" t="s">
        <v>15</v>
      </c>
      <c r="N104" s="15">
        <v>0</v>
      </c>
      <c r="O104" s="118"/>
    </row>
    <row r="105" spans="1:15" s="3" customFormat="1" ht="31.5">
      <c r="A105" s="27">
        <v>97</v>
      </c>
      <c r="B105" s="9" t="s">
        <v>120</v>
      </c>
      <c r="C105" s="7" t="s">
        <v>11</v>
      </c>
      <c r="D105" s="85" t="s">
        <v>213</v>
      </c>
      <c r="E105" s="85" t="s">
        <v>181</v>
      </c>
      <c r="F105" s="8" t="s">
        <v>164</v>
      </c>
      <c r="G105" s="10" t="s">
        <v>14</v>
      </c>
      <c r="H105" s="11">
        <v>1</v>
      </c>
      <c r="I105" s="12">
        <f>491677.112</f>
        <v>491677.11200000002</v>
      </c>
      <c r="J105" s="13">
        <f t="shared" si="6"/>
        <v>491677.11200000002</v>
      </c>
      <c r="K105" s="28" t="s">
        <v>206</v>
      </c>
      <c r="L105" s="7" t="s">
        <v>201</v>
      </c>
      <c r="M105" s="14" t="s">
        <v>15</v>
      </c>
      <c r="N105" s="15">
        <v>0</v>
      </c>
    </row>
    <row r="106" spans="1:15" s="3" customFormat="1" ht="31.5">
      <c r="A106" s="27">
        <v>98</v>
      </c>
      <c r="B106" s="9" t="s">
        <v>120</v>
      </c>
      <c r="C106" s="7" t="s">
        <v>11</v>
      </c>
      <c r="D106" s="85" t="s">
        <v>194</v>
      </c>
      <c r="E106" s="85" t="s">
        <v>182</v>
      </c>
      <c r="F106" s="8" t="s">
        <v>164</v>
      </c>
      <c r="G106" s="10" t="s">
        <v>14</v>
      </c>
      <c r="H106" s="11">
        <v>1</v>
      </c>
      <c r="I106" s="12">
        <f>1048266.331</f>
        <v>1048266.331</v>
      </c>
      <c r="J106" s="13">
        <f t="shared" si="6"/>
        <v>1048266.331</v>
      </c>
      <c r="K106" s="28" t="s">
        <v>206</v>
      </c>
      <c r="L106" s="7" t="s">
        <v>201</v>
      </c>
      <c r="M106" s="14" t="s">
        <v>15</v>
      </c>
      <c r="N106" s="15">
        <v>0</v>
      </c>
    </row>
    <row r="107" spans="1:15" s="3" customFormat="1" ht="31.5">
      <c r="A107" s="27">
        <v>99</v>
      </c>
      <c r="B107" s="9" t="s">
        <v>120</v>
      </c>
      <c r="C107" s="7" t="s">
        <v>11</v>
      </c>
      <c r="D107" s="85" t="s">
        <v>196</v>
      </c>
      <c r="E107" s="85" t="s">
        <v>186</v>
      </c>
      <c r="F107" s="8" t="s">
        <v>164</v>
      </c>
      <c r="G107" s="10" t="s">
        <v>14</v>
      </c>
      <c r="H107" s="11">
        <v>1</v>
      </c>
      <c r="I107" s="12">
        <f>875631.504</f>
        <v>875631.50399999996</v>
      </c>
      <c r="J107" s="13">
        <f>H107*I107</f>
        <v>875631.50399999996</v>
      </c>
      <c r="K107" s="28" t="s">
        <v>206</v>
      </c>
      <c r="L107" s="7" t="s">
        <v>201</v>
      </c>
      <c r="M107" s="14" t="s">
        <v>15</v>
      </c>
      <c r="N107" s="15">
        <v>0</v>
      </c>
    </row>
    <row r="108" spans="1:15" s="3" customFormat="1" ht="31.5">
      <c r="A108" s="27">
        <v>100</v>
      </c>
      <c r="B108" s="9" t="s">
        <v>120</v>
      </c>
      <c r="C108" s="7" t="s">
        <v>11</v>
      </c>
      <c r="D108" s="85" t="s">
        <v>340</v>
      </c>
      <c r="E108" s="85" t="s">
        <v>309</v>
      </c>
      <c r="F108" s="8" t="s">
        <v>164</v>
      </c>
      <c r="G108" s="10" t="s">
        <v>14</v>
      </c>
      <c r="H108" s="11">
        <v>1</v>
      </c>
      <c r="I108" s="12">
        <f>81233.0304</f>
        <v>81233.030400000003</v>
      </c>
      <c r="J108" s="13">
        <f>H108*I108</f>
        <v>81233.030400000003</v>
      </c>
      <c r="K108" s="28" t="s">
        <v>206</v>
      </c>
      <c r="L108" s="7" t="s">
        <v>201</v>
      </c>
      <c r="M108" s="14" t="s">
        <v>15</v>
      </c>
      <c r="N108" s="15">
        <v>0</v>
      </c>
    </row>
    <row r="109" spans="1:15" s="3" customFormat="1" ht="31.5">
      <c r="A109" s="27">
        <v>101</v>
      </c>
      <c r="B109" s="9" t="s">
        <v>120</v>
      </c>
      <c r="C109" s="7" t="s">
        <v>11</v>
      </c>
      <c r="D109" s="85" t="s">
        <v>341</v>
      </c>
      <c r="E109" s="85" t="s">
        <v>310</v>
      </c>
      <c r="F109" s="8" t="s">
        <v>164</v>
      </c>
      <c r="G109" s="10" t="s">
        <v>14</v>
      </c>
      <c r="H109" s="11">
        <v>1</v>
      </c>
      <c r="I109" s="12">
        <f>126740.1732</f>
        <v>126740.1732</v>
      </c>
      <c r="J109" s="13">
        <f>H109*I109</f>
        <v>126740.1732</v>
      </c>
      <c r="K109" s="28" t="s">
        <v>206</v>
      </c>
      <c r="L109" s="7" t="s">
        <v>201</v>
      </c>
      <c r="M109" s="14" t="s">
        <v>15</v>
      </c>
      <c r="N109" s="15">
        <v>0</v>
      </c>
    </row>
    <row r="110" spans="1:15" s="3" customFormat="1" ht="47.25">
      <c r="A110" s="27">
        <v>102</v>
      </c>
      <c r="B110" s="9" t="s">
        <v>120</v>
      </c>
      <c r="C110" s="7" t="s">
        <v>11</v>
      </c>
      <c r="D110" s="85" t="s">
        <v>195</v>
      </c>
      <c r="E110" s="85" t="s">
        <v>183</v>
      </c>
      <c r="F110" s="8" t="s">
        <v>164</v>
      </c>
      <c r="G110" s="10" t="s">
        <v>14</v>
      </c>
      <c r="H110" s="11">
        <v>1</v>
      </c>
      <c r="I110" s="12">
        <f>114534.94/1.12</f>
        <v>102263.33928571428</v>
      </c>
      <c r="J110" s="13">
        <f>I110</f>
        <v>102263.33928571428</v>
      </c>
      <c r="K110" s="28" t="s">
        <v>206</v>
      </c>
      <c r="L110" s="7" t="s">
        <v>201</v>
      </c>
      <c r="M110" s="14" t="s">
        <v>15</v>
      </c>
      <c r="N110" s="15">
        <v>0</v>
      </c>
    </row>
    <row r="111" spans="1:15" s="3" customFormat="1" ht="63">
      <c r="A111" s="27">
        <v>103</v>
      </c>
      <c r="B111" s="9" t="s">
        <v>120</v>
      </c>
      <c r="C111" s="7" t="s">
        <v>11</v>
      </c>
      <c r="D111" s="85" t="s">
        <v>35</v>
      </c>
      <c r="E111" s="85" t="s">
        <v>36</v>
      </c>
      <c r="F111" s="8" t="s">
        <v>116</v>
      </c>
      <c r="G111" s="10" t="s">
        <v>14</v>
      </c>
      <c r="H111" s="11">
        <v>1</v>
      </c>
      <c r="I111" s="12">
        <f>129600/1.12-19285.71</f>
        <v>96428.575714285718</v>
      </c>
      <c r="J111" s="13">
        <f>H111*I111</f>
        <v>96428.575714285718</v>
      </c>
      <c r="K111" s="28" t="s">
        <v>206</v>
      </c>
      <c r="L111" s="7" t="s">
        <v>201</v>
      </c>
      <c r="M111" s="14" t="s">
        <v>15</v>
      </c>
      <c r="N111" s="15">
        <v>0</v>
      </c>
      <c r="O111" s="76"/>
    </row>
    <row r="112" spans="1:15" s="3" customFormat="1" ht="63">
      <c r="A112" s="27">
        <v>104</v>
      </c>
      <c r="B112" s="9" t="s">
        <v>120</v>
      </c>
      <c r="C112" s="7" t="s">
        <v>11</v>
      </c>
      <c r="D112" s="85" t="s">
        <v>185</v>
      </c>
      <c r="E112" s="85" t="s">
        <v>184</v>
      </c>
      <c r="F112" s="8" t="s">
        <v>116</v>
      </c>
      <c r="G112" s="10" t="s">
        <v>14</v>
      </c>
      <c r="H112" s="11">
        <v>1</v>
      </c>
      <c r="I112" s="12">
        <f>42414.8/1.12-6720/1.12</f>
        <v>31870.357142857145</v>
      </c>
      <c r="J112" s="13">
        <f>H112*I112</f>
        <v>31870.357142857145</v>
      </c>
      <c r="K112" s="28" t="s">
        <v>206</v>
      </c>
      <c r="L112" s="7" t="s">
        <v>201</v>
      </c>
      <c r="M112" s="14" t="s">
        <v>15</v>
      </c>
      <c r="N112" s="15">
        <v>0</v>
      </c>
      <c r="O112" s="76"/>
    </row>
    <row r="113" spans="1:15" s="3" customFormat="1" ht="63">
      <c r="A113" s="27">
        <v>105</v>
      </c>
      <c r="B113" s="9" t="s">
        <v>120</v>
      </c>
      <c r="C113" s="7" t="s">
        <v>11</v>
      </c>
      <c r="D113" s="85" t="s">
        <v>197</v>
      </c>
      <c r="E113" s="85" t="s">
        <v>215</v>
      </c>
      <c r="F113" s="8" t="s">
        <v>159</v>
      </c>
      <c r="G113" s="10" t="s">
        <v>14</v>
      </c>
      <c r="H113" s="11">
        <v>1</v>
      </c>
      <c r="I113" s="12">
        <f>675897.6/1.12-96440</f>
        <v>507039.99999999988</v>
      </c>
      <c r="J113" s="13">
        <f t="shared" ref="J113:J115" si="7">H113*I113</f>
        <v>507039.99999999988</v>
      </c>
      <c r="K113" s="28" t="s">
        <v>206</v>
      </c>
      <c r="L113" s="7" t="s">
        <v>201</v>
      </c>
      <c r="M113" s="14" t="s">
        <v>15</v>
      </c>
      <c r="N113" s="15">
        <v>0</v>
      </c>
      <c r="O113" s="76"/>
    </row>
    <row r="114" spans="1:15" s="3" customFormat="1" ht="63">
      <c r="A114" s="27">
        <v>106</v>
      </c>
      <c r="B114" s="9" t="s">
        <v>120</v>
      </c>
      <c r="C114" s="7" t="s">
        <v>11</v>
      </c>
      <c r="D114" s="85" t="s">
        <v>214</v>
      </c>
      <c r="E114" s="85" t="s">
        <v>37</v>
      </c>
      <c r="F114" s="8" t="s">
        <v>359</v>
      </c>
      <c r="G114" s="10" t="s">
        <v>14</v>
      </c>
      <c r="H114" s="11">
        <v>1</v>
      </c>
      <c r="I114" s="12">
        <f>207090.39</f>
        <v>207090.39</v>
      </c>
      <c r="J114" s="13">
        <f t="shared" si="7"/>
        <v>207090.39</v>
      </c>
      <c r="K114" s="28" t="s">
        <v>206</v>
      </c>
      <c r="L114" s="7" t="s">
        <v>201</v>
      </c>
      <c r="M114" s="14" t="s">
        <v>15</v>
      </c>
      <c r="N114" s="15">
        <v>0</v>
      </c>
    </row>
    <row r="115" spans="1:15" s="3" customFormat="1" ht="63">
      <c r="A115" s="27">
        <v>107</v>
      </c>
      <c r="B115" s="9" t="s">
        <v>120</v>
      </c>
      <c r="C115" s="7" t="s">
        <v>11</v>
      </c>
      <c r="D115" s="85" t="s">
        <v>198</v>
      </c>
      <c r="E115" s="85" t="s">
        <v>38</v>
      </c>
      <c r="F115" s="8" t="s">
        <v>359</v>
      </c>
      <c r="G115" s="10" t="s">
        <v>14</v>
      </c>
      <c r="H115" s="11">
        <v>1</v>
      </c>
      <c r="I115" s="12">
        <f>40000/1.12</f>
        <v>35714.28571428571</v>
      </c>
      <c r="J115" s="13">
        <f t="shared" si="7"/>
        <v>35714.28571428571</v>
      </c>
      <c r="K115" s="28" t="s">
        <v>206</v>
      </c>
      <c r="L115" s="7" t="s">
        <v>201</v>
      </c>
      <c r="M115" s="14" t="s">
        <v>15</v>
      </c>
      <c r="N115" s="15">
        <v>0</v>
      </c>
    </row>
    <row r="116" spans="1:15" s="3" customFormat="1" ht="31.5">
      <c r="A116" s="27">
        <v>108</v>
      </c>
      <c r="B116" s="9" t="s">
        <v>120</v>
      </c>
      <c r="C116" s="7" t="s">
        <v>11</v>
      </c>
      <c r="D116" s="85" t="s">
        <v>39</v>
      </c>
      <c r="E116" s="85" t="s">
        <v>40</v>
      </c>
      <c r="F116" s="8" t="s">
        <v>190</v>
      </c>
      <c r="G116" s="10" t="s">
        <v>14</v>
      </c>
      <c r="H116" s="11">
        <v>1</v>
      </c>
      <c r="I116" s="12">
        <f>139131.34-27529.76</f>
        <v>111601.58</v>
      </c>
      <c r="J116" s="13">
        <f>I116</f>
        <v>111601.58</v>
      </c>
      <c r="K116" s="28" t="s">
        <v>206</v>
      </c>
      <c r="L116" s="7" t="s">
        <v>201</v>
      </c>
      <c r="M116" s="14" t="s">
        <v>15</v>
      </c>
      <c r="N116" s="15">
        <v>0</v>
      </c>
      <c r="O116" s="76"/>
    </row>
    <row r="117" spans="1:15" s="3" customFormat="1" ht="63">
      <c r="A117" s="27">
        <v>109</v>
      </c>
      <c r="B117" s="9" t="s">
        <v>120</v>
      </c>
      <c r="C117" s="7" t="s">
        <v>11</v>
      </c>
      <c r="D117" s="85" t="s">
        <v>336</v>
      </c>
      <c r="E117" s="85" t="s">
        <v>311</v>
      </c>
      <c r="F117" s="8" t="s">
        <v>116</v>
      </c>
      <c r="G117" s="10" t="s">
        <v>14</v>
      </c>
      <c r="H117" s="11">
        <v>1</v>
      </c>
      <c r="I117" s="12">
        <f>219758/1.12</f>
        <v>196212.49999999997</v>
      </c>
      <c r="J117" s="13">
        <f>H117*I117</f>
        <v>196212.49999999997</v>
      </c>
      <c r="K117" s="14" t="s">
        <v>208</v>
      </c>
      <c r="L117" s="7" t="s">
        <v>203</v>
      </c>
      <c r="M117" s="14" t="s">
        <v>15</v>
      </c>
      <c r="N117" s="15">
        <v>0</v>
      </c>
    </row>
    <row r="118" spans="1:15" s="3" customFormat="1" ht="47.25">
      <c r="A118" s="27">
        <v>110</v>
      </c>
      <c r="B118" s="9" t="s">
        <v>120</v>
      </c>
      <c r="C118" s="7" t="s">
        <v>11</v>
      </c>
      <c r="D118" s="85" t="s">
        <v>41</v>
      </c>
      <c r="E118" s="85" t="s">
        <v>42</v>
      </c>
      <c r="F118" s="8" t="s">
        <v>164</v>
      </c>
      <c r="G118" s="10" t="s">
        <v>14</v>
      </c>
      <c r="H118" s="11">
        <v>1</v>
      </c>
      <c r="I118" s="12">
        <f>5298477.21+2330031.43-1466111.11</f>
        <v>6162397.5300000003</v>
      </c>
      <c r="J118" s="13">
        <f>H118*I118</f>
        <v>6162397.5300000003</v>
      </c>
      <c r="K118" s="28" t="s">
        <v>206</v>
      </c>
      <c r="L118" s="7" t="s">
        <v>201</v>
      </c>
      <c r="M118" s="14" t="s">
        <v>15</v>
      </c>
      <c r="N118" s="15">
        <v>0</v>
      </c>
      <c r="O118" s="76"/>
    </row>
    <row r="119" spans="1:15" s="3" customFormat="1" ht="63">
      <c r="A119" s="27">
        <v>111</v>
      </c>
      <c r="B119" s="9" t="s">
        <v>120</v>
      </c>
      <c r="C119" s="7" t="s">
        <v>22</v>
      </c>
      <c r="D119" s="85" t="s">
        <v>188</v>
      </c>
      <c r="E119" s="85" t="s">
        <v>187</v>
      </c>
      <c r="F119" s="8" t="s">
        <v>116</v>
      </c>
      <c r="G119" s="10" t="s">
        <v>23</v>
      </c>
      <c r="H119" s="11">
        <v>20</v>
      </c>
      <c r="I119" s="12">
        <f>15733.2/1.12</f>
        <v>14047.5</v>
      </c>
      <c r="J119" s="13">
        <f>H119*I119</f>
        <v>280950</v>
      </c>
      <c r="K119" s="14" t="s">
        <v>208</v>
      </c>
      <c r="L119" s="7" t="s">
        <v>203</v>
      </c>
      <c r="M119" s="14" t="s">
        <v>15</v>
      </c>
      <c r="N119" s="15">
        <v>0</v>
      </c>
    </row>
    <row r="120" spans="1:15" s="3" customFormat="1" ht="38.450000000000003" customHeight="1">
      <c r="A120" s="27">
        <v>112</v>
      </c>
      <c r="B120" s="9" t="s">
        <v>120</v>
      </c>
      <c r="C120" s="7" t="s">
        <v>11</v>
      </c>
      <c r="D120" s="85" t="s">
        <v>43</v>
      </c>
      <c r="E120" s="85" t="s">
        <v>44</v>
      </c>
      <c r="F120" s="8" t="s">
        <v>72</v>
      </c>
      <c r="G120" s="10" t="s">
        <v>14</v>
      </c>
      <c r="H120" s="11">
        <v>1</v>
      </c>
      <c r="I120" s="12">
        <f>11200000/1.12</f>
        <v>9999999.9999999981</v>
      </c>
      <c r="J120" s="13">
        <f>H120*I120</f>
        <v>9999999.9999999981</v>
      </c>
      <c r="K120" s="14" t="s">
        <v>208</v>
      </c>
      <c r="L120" s="7" t="s">
        <v>205</v>
      </c>
      <c r="M120" s="14" t="s">
        <v>15</v>
      </c>
      <c r="N120" s="15">
        <v>50</v>
      </c>
    </row>
    <row r="121" spans="1:15" s="3" customFormat="1" ht="32.450000000000003" customHeight="1">
      <c r="A121" s="27">
        <v>113</v>
      </c>
      <c r="B121" s="9" t="s">
        <v>120</v>
      </c>
      <c r="C121" s="7" t="s">
        <v>11</v>
      </c>
      <c r="D121" s="85" t="s">
        <v>331</v>
      </c>
      <c r="E121" s="85" t="s">
        <v>312</v>
      </c>
      <c r="F121" s="8" t="s">
        <v>72</v>
      </c>
      <c r="G121" s="10" t="s">
        <v>14</v>
      </c>
      <c r="H121" s="11">
        <v>1</v>
      </c>
      <c r="I121" s="12">
        <f>4000000/1.12</f>
        <v>3571428.5714285709</v>
      </c>
      <c r="J121" s="13">
        <f>H121*I121</f>
        <v>3571428.5714285709</v>
      </c>
      <c r="K121" s="14" t="s">
        <v>208</v>
      </c>
      <c r="L121" s="7" t="s">
        <v>208</v>
      </c>
      <c r="M121" s="14" t="s">
        <v>15</v>
      </c>
      <c r="N121" s="15">
        <v>0</v>
      </c>
    </row>
    <row r="122" spans="1:15" s="3" customFormat="1" ht="63">
      <c r="A122" s="27">
        <v>114</v>
      </c>
      <c r="B122" s="9" t="s">
        <v>120</v>
      </c>
      <c r="C122" s="7" t="s">
        <v>22</v>
      </c>
      <c r="D122" s="85" t="s">
        <v>46</v>
      </c>
      <c r="E122" s="85" t="s">
        <v>47</v>
      </c>
      <c r="F122" s="8" t="s">
        <v>116</v>
      </c>
      <c r="G122" s="10" t="s">
        <v>23</v>
      </c>
      <c r="H122" s="11">
        <v>300</v>
      </c>
      <c r="I122" s="12">
        <f>30/1.12</f>
        <v>26.785714285714285</v>
      </c>
      <c r="J122" s="13">
        <f t="shared" ref="J122:J133" si="8">H122*I122</f>
        <v>8035.7142857142853</v>
      </c>
      <c r="K122" s="28" t="s">
        <v>206</v>
      </c>
      <c r="L122" s="7" t="s">
        <v>206</v>
      </c>
      <c r="M122" s="14" t="s">
        <v>15</v>
      </c>
      <c r="N122" s="15">
        <v>0</v>
      </c>
    </row>
    <row r="123" spans="1:15" s="3" customFormat="1" ht="63">
      <c r="A123" s="27">
        <v>115</v>
      </c>
      <c r="B123" s="9" t="s">
        <v>120</v>
      </c>
      <c r="C123" s="7" t="s">
        <v>11</v>
      </c>
      <c r="D123" s="85" t="s">
        <v>49</v>
      </c>
      <c r="E123" s="85" t="s">
        <v>50</v>
      </c>
      <c r="F123" s="8" t="s">
        <v>116</v>
      </c>
      <c r="G123" s="10" t="s">
        <v>14</v>
      </c>
      <c r="H123" s="11">
        <v>1</v>
      </c>
      <c r="I123" s="12">
        <f>108000/1.12</f>
        <v>96428.57142857142</v>
      </c>
      <c r="J123" s="13">
        <f t="shared" si="8"/>
        <v>96428.57142857142</v>
      </c>
      <c r="K123" s="28" t="s">
        <v>206</v>
      </c>
      <c r="L123" s="7" t="s">
        <v>201</v>
      </c>
      <c r="M123" s="14" t="s">
        <v>15</v>
      </c>
      <c r="N123" s="15">
        <v>0</v>
      </c>
    </row>
    <row r="124" spans="1:15" s="3" customFormat="1" ht="63">
      <c r="A124" s="27">
        <v>116</v>
      </c>
      <c r="B124" s="9" t="s">
        <v>120</v>
      </c>
      <c r="C124" s="7" t="s">
        <v>11</v>
      </c>
      <c r="D124" s="85" t="s">
        <v>51</v>
      </c>
      <c r="E124" s="85" t="s">
        <v>52</v>
      </c>
      <c r="F124" s="8" t="s">
        <v>116</v>
      </c>
      <c r="G124" s="10" t="s">
        <v>14</v>
      </c>
      <c r="H124" s="11">
        <v>1</v>
      </c>
      <c r="I124" s="12">
        <f>58408.08/1.12</f>
        <v>52150.071428571428</v>
      </c>
      <c r="J124" s="13">
        <f t="shared" si="8"/>
        <v>52150.071428571428</v>
      </c>
      <c r="K124" s="28" t="s">
        <v>206</v>
      </c>
      <c r="L124" s="7" t="s">
        <v>201</v>
      </c>
      <c r="M124" s="14" t="s">
        <v>15</v>
      </c>
      <c r="N124" s="15">
        <v>100</v>
      </c>
    </row>
    <row r="125" spans="1:15" s="3" customFormat="1" ht="63">
      <c r="A125" s="27">
        <v>117</v>
      </c>
      <c r="B125" s="9" t="s">
        <v>120</v>
      </c>
      <c r="C125" s="7" t="s">
        <v>22</v>
      </c>
      <c r="D125" s="85" t="s">
        <v>383</v>
      </c>
      <c r="E125" s="85" t="s">
        <v>375</v>
      </c>
      <c r="F125" s="8" t="s">
        <v>159</v>
      </c>
      <c r="G125" s="10" t="s">
        <v>23</v>
      </c>
      <c r="H125" s="11">
        <v>3</v>
      </c>
      <c r="I125" s="12">
        <f>319300.84/1.12</f>
        <v>285090.03571428568</v>
      </c>
      <c r="J125" s="13">
        <f t="shared" si="8"/>
        <v>855270.10714285704</v>
      </c>
      <c r="K125" s="14" t="s">
        <v>208</v>
      </c>
      <c r="L125" s="7" t="s">
        <v>204</v>
      </c>
      <c r="M125" s="14" t="s">
        <v>15</v>
      </c>
      <c r="N125" s="15">
        <v>0</v>
      </c>
    </row>
    <row r="126" spans="1:15" s="3" customFormat="1" ht="63">
      <c r="A126" s="27">
        <v>118</v>
      </c>
      <c r="B126" s="9" t="s">
        <v>120</v>
      </c>
      <c r="C126" s="7" t="s">
        <v>22</v>
      </c>
      <c r="D126" s="85" t="s">
        <v>382</v>
      </c>
      <c r="E126" s="85" t="s">
        <v>376</v>
      </c>
      <c r="F126" s="8" t="s">
        <v>116</v>
      </c>
      <c r="G126" s="10" t="s">
        <v>23</v>
      </c>
      <c r="H126" s="11">
        <v>3</v>
      </c>
      <c r="I126" s="12">
        <f>81170.2/1.12</f>
        <v>72473.392857142841</v>
      </c>
      <c r="J126" s="13">
        <f t="shared" si="8"/>
        <v>217420.17857142852</v>
      </c>
      <c r="K126" s="14" t="s">
        <v>208</v>
      </c>
      <c r="L126" s="7" t="s">
        <v>204</v>
      </c>
      <c r="M126" s="14" t="s">
        <v>15</v>
      </c>
      <c r="N126" s="15">
        <v>0</v>
      </c>
    </row>
    <row r="127" spans="1:15" s="3" customFormat="1" ht="63">
      <c r="A127" s="27">
        <v>119</v>
      </c>
      <c r="B127" s="9" t="s">
        <v>120</v>
      </c>
      <c r="C127" s="7" t="s">
        <v>22</v>
      </c>
      <c r="D127" s="85" t="s">
        <v>381</v>
      </c>
      <c r="E127" s="85" t="s">
        <v>377</v>
      </c>
      <c r="F127" s="8" t="s">
        <v>159</v>
      </c>
      <c r="G127" s="10" t="s">
        <v>23</v>
      </c>
      <c r="H127" s="11">
        <v>1</v>
      </c>
      <c r="I127" s="12">
        <f>1372803.58/1.12</f>
        <v>1225717.482142857</v>
      </c>
      <c r="J127" s="13">
        <f t="shared" si="8"/>
        <v>1225717.482142857</v>
      </c>
      <c r="K127" s="14" t="s">
        <v>208</v>
      </c>
      <c r="L127" s="7" t="s">
        <v>204</v>
      </c>
      <c r="M127" s="14" t="s">
        <v>15</v>
      </c>
      <c r="N127" s="15">
        <v>0</v>
      </c>
    </row>
    <row r="128" spans="1:15" s="3" customFormat="1" ht="63">
      <c r="A128" s="27">
        <v>120</v>
      </c>
      <c r="B128" s="9" t="s">
        <v>120</v>
      </c>
      <c r="C128" s="7" t="s">
        <v>22</v>
      </c>
      <c r="D128" s="85" t="s">
        <v>384</v>
      </c>
      <c r="E128" s="85" t="s">
        <v>378</v>
      </c>
      <c r="F128" s="8" t="s">
        <v>159</v>
      </c>
      <c r="G128" s="10" t="s">
        <v>23</v>
      </c>
      <c r="H128" s="11">
        <v>2</v>
      </c>
      <c r="I128" s="12">
        <f>619839.23/1.12</f>
        <v>553427.88392857136</v>
      </c>
      <c r="J128" s="13">
        <f t="shared" si="8"/>
        <v>1106855.7678571427</v>
      </c>
      <c r="K128" s="14" t="s">
        <v>208</v>
      </c>
      <c r="L128" s="7" t="s">
        <v>204</v>
      </c>
      <c r="M128" s="14" t="s">
        <v>15</v>
      </c>
      <c r="N128" s="15">
        <v>0</v>
      </c>
    </row>
    <row r="129" spans="1:14" s="3" customFormat="1" ht="63">
      <c r="A129" s="27">
        <v>121</v>
      </c>
      <c r="B129" s="9" t="s">
        <v>120</v>
      </c>
      <c r="C129" s="7" t="s">
        <v>22</v>
      </c>
      <c r="D129" s="85" t="s">
        <v>380</v>
      </c>
      <c r="E129" s="85" t="s">
        <v>379</v>
      </c>
      <c r="F129" s="8" t="s">
        <v>116</v>
      </c>
      <c r="G129" s="10" t="s">
        <v>23</v>
      </c>
      <c r="H129" s="11">
        <v>1</v>
      </c>
      <c r="I129" s="12">
        <f>466755.4/1.12</f>
        <v>416745.89285714284</v>
      </c>
      <c r="J129" s="13">
        <f t="shared" si="8"/>
        <v>416745.89285714284</v>
      </c>
      <c r="K129" s="14" t="s">
        <v>208</v>
      </c>
      <c r="L129" s="7" t="s">
        <v>204</v>
      </c>
      <c r="M129" s="14" t="s">
        <v>15</v>
      </c>
      <c r="N129" s="15">
        <v>0</v>
      </c>
    </row>
    <row r="130" spans="1:14" s="3" customFormat="1" ht="43.9" customHeight="1">
      <c r="A130" s="27">
        <v>122</v>
      </c>
      <c r="B130" s="9" t="s">
        <v>120</v>
      </c>
      <c r="C130" s="7" t="s">
        <v>22</v>
      </c>
      <c r="D130" s="85" t="s">
        <v>330</v>
      </c>
      <c r="E130" s="85" t="s">
        <v>313</v>
      </c>
      <c r="F130" s="8" t="s">
        <v>164</v>
      </c>
      <c r="G130" s="10" t="s">
        <v>23</v>
      </c>
      <c r="H130" s="11">
        <v>1</v>
      </c>
      <c r="I130" s="12">
        <f>10000000/1.12</f>
        <v>8928571.4285714272</v>
      </c>
      <c r="J130" s="13">
        <f t="shared" si="8"/>
        <v>8928571.4285714272</v>
      </c>
      <c r="K130" s="14" t="s">
        <v>208</v>
      </c>
      <c r="L130" s="7" t="s">
        <v>204</v>
      </c>
      <c r="M130" s="14" t="s">
        <v>15</v>
      </c>
      <c r="N130" s="15">
        <v>0</v>
      </c>
    </row>
    <row r="131" spans="1:14" s="3" customFormat="1" ht="63">
      <c r="A131" s="27">
        <v>123</v>
      </c>
      <c r="B131" s="9" t="s">
        <v>120</v>
      </c>
      <c r="C131" s="7" t="s">
        <v>22</v>
      </c>
      <c r="D131" s="85" t="s">
        <v>337</v>
      </c>
      <c r="E131" s="85" t="s">
        <v>314</v>
      </c>
      <c r="F131" s="8" t="s">
        <v>159</v>
      </c>
      <c r="G131" s="10" t="s">
        <v>23</v>
      </c>
      <c r="H131" s="11">
        <v>1</v>
      </c>
      <c r="I131" s="12">
        <f>2844990/1.12</f>
        <v>2540169.6428571427</v>
      </c>
      <c r="J131" s="13">
        <f t="shared" si="8"/>
        <v>2540169.6428571427</v>
      </c>
      <c r="K131" s="14" t="s">
        <v>208</v>
      </c>
      <c r="L131" s="7" t="s">
        <v>208</v>
      </c>
      <c r="M131" s="14" t="s">
        <v>15</v>
      </c>
      <c r="N131" s="15">
        <v>0</v>
      </c>
    </row>
    <row r="132" spans="1:14" s="3" customFormat="1" ht="63">
      <c r="A132" s="27">
        <v>124</v>
      </c>
      <c r="B132" s="9" t="s">
        <v>120</v>
      </c>
      <c r="C132" s="7" t="s">
        <v>22</v>
      </c>
      <c r="D132" s="85" t="s">
        <v>338</v>
      </c>
      <c r="E132" s="85" t="s">
        <v>315</v>
      </c>
      <c r="F132" s="8" t="s">
        <v>159</v>
      </c>
      <c r="G132" s="10" t="s">
        <v>23</v>
      </c>
      <c r="H132" s="11">
        <v>1</v>
      </c>
      <c r="I132" s="12">
        <f>2251370/1.12</f>
        <v>2010151.7857142854</v>
      </c>
      <c r="J132" s="13">
        <f t="shared" si="8"/>
        <v>2010151.7857142854</v>
      </c>
      <c r="K132" s="14" t="s">
        <v>208</v>
      </c>
      <c r="L132" s="7" t="s">
        <v>208</v>
      </c>
      <c r="M132" s="14" t="s">
        <v>15</v>
      </c>
      <c r="N132" s="15">
        <v>0</v>
      </c>
    </row>
    <row r="133" spans="1:14" s="3" customFormat="1" ht="63.75" thickBot="1">
      <c r="A133" s="88">
        <v>125</v>
      </c>
      <c r="B133" s="89" t="s">
        <v>120</v>
      </c>
      <c r="C133" s="90" t="s">
        <v>22</v>
      </c>
      <c r="D133" s="91" t="s">
        <v>339</v>
      </c>
      <c r="E133" s="91" t="s">
        <v>316</v>
      </c>
      <c r="F133" s="92" t="s">
        <v>116</v>
      </c>
      <c r="G133" s="93" t="s">
        <v>23</v>
      </c>
      <c r="H133" s="94">
        <v>1</v>
      </c>
      <c r="I133" s="95">
        <f>292130/1.12</f>
        <v>260830.35714285713</v>
      </c>
      <c r="J133" s="96">
        <f t="shared" si="8"/>
        <v>260830.35714285713</v>
      </c>
      <c r="K133" s="97" t="s">
        <v>208</v>
      </c>
      <c r="L133" s="90" t="s">
        <v>208</v>
      </c>
      <c r="M133" s="97" t="s">
        <v>15</v>
      </c>
      <c r="N133" s="116">
        <v>0</v>
      </c>
    </row>
    <row r="134" spans="1:14" s="3" customFormat="1" ht="15.75">
      <c r="A134" s="35"/>
      <c r="B134" s="35"/>
      <c r="C134" s="77"/>
      <c r="D134" s="78"/>
      <c r="E134" s="78"/>
      <c r="F134" s="79"/>
      <c r="G134" s="80"/>
      <c r="H134" s="81"/>
      <c r="I134" s="82"/>
      <c r="J134" s="83"/>
      <c r="K134" s="84"/>
      <c r="L134" s="84"/>
      <c r="M134" s="84"/>
      <c r="N134" s="35"/>
    </row>
    <row r="135" spans="1:14" ht="45.6" customHeight="1">
      <c r="D135" s="125" t="s">
        <v>56</v>
      </c>
      <c r="E135" s="126"/>
      <c r="F135" s="125" t="s">
        <v>74</v>
      </c>
      <c r="G135" s="126"/>
      <c r="H135" s="114"/>
      <c r="I135" s="114"/>
      <c r="J135" s="114"/>
      <c r="K135" s="114"/>
      <c r="L135" s="114"/>
      <c r="M135" s="114"/>
      <c r="N135" s="114"/>
    </row>
    <row r="136" spans="1:14" ht="21.6" customHeight="1"/>
    <row r="137" spans="1:14" ht="37.5">
      <c r="D137" s="119" t="s">
        <v>57</v>
      </c>
      <c r="E137" s="119"/>
      <c r="F137" s="125" t="s">
        <v>75</v>
      </c>
      <c r="G137" s="120"/>
      <c r="I137" s="113" t="s">
        <v>83</v>
      </c>
    </row>
    <row r="138" spans="1:14" ht="18.75">
      <c r="D138" s="111"/>
      <c r="E138" s="111"/>
      <c r="F138" s="112"/>
      <c r="J138" s="22" t="s">
        <v>81</v>
      </c>
    </row>
    <row r="139" spans="1:14" ht="18.75">
      <c r="D139" s="119" t="s">
        <v>76</v>
      </c>
      <c r="E139" s="119"/>
      <c r="F139" s="125" t="s">
        <v>317</v>
      </c>
      <c r="G139" s="120"/>
    </row>
    <row r="140" spans="1:14" ht="18.75">
      <c r="D140" s="111"/>
      <c r="E140" s="111"/>
      <c r="F140" s="112"/>
      <c r="J140" s="22" t="s">
        <v>209</v>
      </c>
    </row>
    <row r="141" spans="1:14" ht="18.75">
      <c r="D141" s="119" t="s">
        <v>318</v>
      </c>
      <c r="E141" s="119"/>
      <c r="F141" s="125" t="s">
        <v>319</v>
      </c>
      <c r="G141" s="120"/>
    </row>
    <row r="142" spans="1:14" ht="18.75">
      <c r="F142" s="112"/>
      <c r="H142" s="22"/>
      <c r="J142" s="22" t="s">
        <v>320</v>
      </c>
      <c r="K142" s="22"/>
      <c r="L142" s="22"/>
      <c r="M142" s="22"/>
      <c r="N142" s="22"/>
    </row>
    <row r="143" spans="1:14" ht="18.75">
      <c r="D143" s="119" t="s">
        <v>59</v>
      </c>
      <c r="E143" s="119"/>
      <c r="F143" s="125" t="s">
        <v>77</v>
      </c>
      <c r="G143" s="120"/>
      <c r="H143" s="22"/>
      <c r="J143" s="22"/>
      <c r="K143" s="22"/>
      <c r="L143" s="22"/>
      <c r="M143" s="22"/>
      <c r="N143" s="22"/>
    </row>
    <row r="144" spans="1:14" ht="18.75">
      <c r="F144" s="112"/>
      <c r="H144" s="22"/>
      <c r="I144" s="22"/>
      <c r="J144" s="22" t="s">
        <v>80</v>
      </c>
      <c r="K144" s="22"/>
      <c r="L144" s="22"/>
      <c r="M144" s="22"/>
      <c r="N144" s="22"/>
    </row>
    <row r="145" spans="4:14" ht="18.75">
      <c r="D145" s="119" t="s">
        <v>60</v>
      </c>
      <c r="E145" s="119"/>
      <c r="F145" s="125" t="s">
        <v>79</v>
      </c>
      <c r="G145" s="120"/>
      <c r="H145" s="22"/>
      <c r="I145" s="22"/>
      <c r="J145" s="22"/>
      <c r="K145" s="22"/>
      <c r="L145" s="22"/>
      <c r="M145" s="22"/>
      <c r="N145" s="22"/>
    </row>
    <row r="146" spans="4:14" ht="18.75">
      <c r="G146" s="22"/>
      <c r="H146" s="22"/>
      <c r="I146" s="22"/>
      <c r="J146" s="22" t="s">
        <v>362</v>
      </c>
      <c r="K146" s="22"/>
      <c r="L146" s="22"/>
      <c r="M146" s="22"/>
      <c r="N146" s="22"/>
    </row>
    <row r="151" spans="4:14" ht="15.75">
      <c r="G151" s="119" t="s">
        <v>58</v>
      </c>
      <c r="H151" s="120"/>
      <c r="I151" s="120"/>
      <c r="J151" s="120"/>
      <c r="K151" s="120"/>
      <c r="L151" s="120"/>
      <c r="M151" s="120"/>
      <c r="N151" s="120"/>
    </row>
    <row r="152" spans="4:14" ht="18.75">
      <c r="G152" s="22"/>
      <c r="H152" s="22"/>
      <c r="J152" s="22"/>
      <c r="K152" s="22"/>
      <c r="L152" s="22"/>
      <c r="M152" s="22"/>
      <c r="N152" s="22"/>
    </row>
    <row r="153" spans="4:14" ht="18.75">
      <c r="G153" s="22"/>
      <c r="H153" s="22"/>
      <c r="J153" s="22"/>
      <c r="K153" s="22"/>
      <c r="L153" s="22"/>
      <c r="M153" s="22"/>
      <c r="N153" s="22"/>
    </row>
    <row r="154" spans="4:14" ht="18.75">
      <c r="G154" s="22"/>
      <c r="H154" s="22"/>
      <c r="J154" s="22"/>
      <c r="K154" s="22"/>
      <c r="L154" s="22"/>
      <c r="M154" s="22"/>
      <c r="N154" s="22"/>
    </row>
    <row r="155" spans="4:14" ht="18.75">
      <c r="G155" s="22" t="s">
        <v>61</v>
      </c>
      <c r="H155" s="22"/>
      <c r="J155" s="22"/>
      <c r="K155" s="22"/>
      <c r="L155" s="22"/>
      <c r="M155" s="22"/>
      <c r="N155" s="22"/>
    </row>
  </sheetData>
  <mergeCells count="29">
    <mergeCell ref="A2:I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O102:O103"/>
    <mergeCell ref="D135:E135"/>
    <mergeCell ref="D137:E137"/>
    <mergeCell ref="J6:J7"/>
    <mergeCell ref="K6:K7"/>
    <mergeCell ref="L6:L7"/>
    <mergeCell ref="M6:M7"/>
    <mergeCell ref="N6:N7"/>
    <mergeCell ref="F135:G135"/>
    <mergeCell ref="D145:E145"/>
    <mergeCell ref="G151:N151"/>
    <mergeCell ref="F145:G145"/>
    <mergeCell ref="F143:G143"/>
    <mergeCell ref="F137:G137"/>
    <mergeCell ref="F141:G141"/>
    <mergeCell ref="F139:G139"/>
    <mergeCell ref="D139:E139"/>
    <mergeCell ref="D141:E141"/>
    <mergeCell ref="D143:E143"/>
  </mergeCells>
  <dataValidations count="2">
    <dataValidation allowBlank="1" showInputMessage="1" showErrorMessage="1" prompt="Единица измерения заполняется автоматически в соответствии с КТРУ" sqref="G102 G14:G15"/>
    <dataValidation allowBlank="1" showInputMessage="1" showErrorMessage="1" prompt="Введите дополнительную характеристику на государственном языке" sqref="D129"/>
  </dataValidations>
  <pageMargins left="0.70866141732283472" right="0.70866141732283472" top="0.35433070866141736" bottom="0.11811023622047245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для размещ на сайте</vt:lpstr>
      <vt:lpstr>'для размещ на сайте'!Заголовки_для_печати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Толеш Райгул Саликызы</dc:creator>
  <cp:lastModifiedBy>izagorskiy</cp:lastModifiedBy>
  <cp:lastPrinted>2018-01-10T04:04:31Z</cp:lastPrinted>
  <dcterms:created xsi:type="dcterms:W3CDTF">2014-12-22T07:52:35Z</dcterms:created>
  <dcterms:modified xsi:type="dcterms:W3CDTF">2018-01-11T05:04:09Z</dcterms:modified>
</cp:coreProperties>
</file>